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03"/>
  <workbookPr/>
  <mc:AlternateContent xmlns:mc="http://schemas.openxmlformats.org/markup-compatibility/2006">
    <mc:Choice Requires="x15">
      <x15ac:absPath xmlns:x15ac="http://schemas.microsoft.com/office/spreadsheetml/2010/11/ac" url="/Users/scottshiao/Documents/GitHub/equity-research/outputs/models/"/>
    </mc:Choice>
  </mc:AlternateContent>
  <xr:revisionPtr revIDLastSave="0" documentId="13_ncr:1_{7473B0FF-2109-A943-911F-FA8E7ABBCF9C}" xr6:coauthVersionLast="47" xr6:coauthVersionMax="47" xr10:uidLastSave="{00000000-0000-0000-0000-000000000000}"/>
  <bookViews>
    <workbookView xWindow="0" yWindow="660" windowWidth="30240" windowHeight="17300" xr2:uid="{00000000-000D-0000-FFFF-FFFF00000000}"/>
  </bookViews>
  <sheets>
    <sheet name="financials" sheetId="1" r:id="rId1"/>
    <sheet name="_reported" sheetId="2" r:id="rId2"/>
    <sheet name="inputs" sheetId="3" r:id="rId3"/>
  </sheets>
  <definedNames>
    <definedName name="FYE">inputs!$F$7</definedName>
    <definedName name="Name">inputs!$F$3</definedName>
    <definedName name="Subheader">inputs!$F$5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252" i="1" l="1"/>
  <c r="Y252" i="1"/>
  <c r="X252" i="1"/>
  <c r="N252" i="1"/>
  <c r="M252" i="1"/>
  <c r="L252" i="1"/>
  <c r="K252" i="1"/>
  <c r="J252" i="1"/>
  <c r="I252" i="1"/>
  <c r="H252" i="1"/>
  <c r="G252" i="1"/>
  <c r="Z250" i="1"/>
  <c r="Y250" i="1"/>
  <c r="X250" i="1"/>
  <c r="N250" i="1"/>
  <c r="M250" i="1"/>
  <c r="L250" i="1"/>
  <c r="K250" i="1"/>
  <c r="J250" i="1"/>
  <c r="I250" i="1"/>
  <c r="H250" i="1"/>
  <c r="G250" i="1"/>
  <c r="Y246" i="1"/>
  <c r="N246" i="1"/>
  <c r="L246" i="1"/>
  <c r="J246" i="1"/>
  <c r="I246" i="1"/>
  <c r="G246" i="1"/>
  <c r="Z241" i="1"/>
  <c r="Z246" i="1" s="1"/>
  <c r="Y241" i="1"/>
  <c r="X241" i="1"/>
  <c r="X246" i="1" s="1"/>
  <c r="N241" i="1"/>
  <c r="M241" i="1"/>
  <c r="M246" i="1" s="1"/>
  <c r="L241" i="1"/>
  <c r="K241" i="1"/>
  <c r="K246" i="1" s="1"/>
  <c r="J241" i="1"/>
  <c r="I241" i="1"/>
  <c r="H241" i="1"/>
  <c r="H246" i="1" s="1"/>
  <c r="G241" i="1"/>
  <c r="AE227" i="1"/>
  <c r="AD227" i="1"/>
  <c r="AC227" i="1"/>
  <c r="Z227" i="1"/>
  <c r="Z228" i="1" s="1"/>
  <c r="Y227" i="1"/>
  <c r="Y228" i="1" s="1"/>
  <c r="X227" i="1"/>
  <c r="X228" i="1" s="1"/>
  <c r="V227" i="1"/>
  <c r="U227" i="1"/>
  <c r="T227" i="1"/>
  <c r="S227" i="1"/>
  <c r="AB227" i="1" s="1"/>
  <c r="R227" i="1"/>
  <c r="Q227" i="1"/>
  <c r="P227" i="1"/>
  <c r="O227" i="1"/>
  <c r="AA227" i="1" s="1"/>
  <c r="N227" i="1"/>
  <c r="N228" i="1" s="1"/>
  <c r="M227" i="1"/>
  <c r="M228" i="1" s="1"/>
  <c r="L227" i="1"/>
  <c r="L228" i="1" s="1"/>
  <c r="K227" i="1"/>
  <c r="K228" i="1" s="1"/>
  <c r="J227" i="1"/>
  <c r="J228" i="1" s="1"/>
  <c r="I227" i="1"/>
  <c r="I228" i="1" s="1"/>
  <c r="H227" i="1"/>
  <c r="H228" i="1" s="1"/>
  <c r="G227" i="1"/>
  <c r="G228" i="1" s="1"/>
  <c r="AB225" i="1"/>
  <c r="AA225" i="1"/>
  <c r="AB224" i="1"/>
  <c r="AA224" i="1"/>
  <c r="AB223" i="1"/>
  <c r="AA223" i="1"/>
  <c r="AB222" i="1"/>
  <c r="AA222" i="1"/>
  <c r="AB221" i="1"/>
  <c r="AA221" i="1"/>
  <c r="J218" i="1"/>
  <c r="I218" i="1"/>
  <c r="H218" i="1"/>
  <c r="G218" i="1"/>
  <c r="Z217" i="1"/>
  <c r="Z218" i="1" s="1"/>
  <c r="Y217" i="1"/>
  <c r="Y218" i="1" s="1"/>
  <c r="X217" i="1"/>
  <c r="X218" i="1" s="1"/>
  <c r="N217" i="1"/>
  <c r="N218" i="1" s="1"/>
  <c r="M217" i="1"/>
  <c r="M218" i="1" s="1"/>
  <c r="L217" i="1"/>
  <c r="L218" i="1" s="1"/>
  <c r="K217" i="1"/>
  <c r="K218" i="1" s="1"/>
  <c r="J217" i="1"/>
  <c r="I217" i="1"/>
  <c r="H217" i="1"/>
  <c r="G217" i="1"/>
  <c r="AB215" i="1"/>
  <c r="AA215" i="1"/>
  <c r="AB212" i="1"/>
  <c r="AA212" i="1"/>
  <c r="AB210" i="1"/>
  <c r="AA210" i="1"/>
  <c r="AB209" i="1"/>
  <c r="AA209" i="1"/>
  <c r="AB208" i="1"/>
  <c r="AA208" i="1"/>
  <c r="AB201" i="1"/>
  <c r="AA201" i="1"/>
  <c r="AB193" i="1"/>
  <c r="AA193" i="1"/>
  <c r="AB192" i="1"/>
  <c r="AA192" i="1"/>
  <c r="AB191" i="1"/>
  <c r="AA191" i="1"/>
  <c r="AB190" i="1"/>
  <c r="AA190" i="1"/>
  <c r="AB189" i="1"/>
  <c r="AA189" i="1"/>
  <c r="AB188" i="1"/>
  <c r="AA188" i="1"/>
  <c r="AB187" i="1"/>
  <c r="AA187" i="1"/>
  <c r="AE186" i="1"/>
  <c r="AE250" i="1" s="1"/>
  <c r="AB185" i="1"/>
  <c r="AA185" i="1"/>
  <c r="Z163" i="1"/>
  <c r="Y163" i="1"/>
  <c r="X163" i="1"/>
  <c r="N163" i="1"/>
  <c r="M163" i="1"/>
  <c r="L163" i="1"/>
  <c r="K163" i="1"/>
  <c r="J163" i="1"/>
  <c r="I163" i="1"/>
  <c r="H163" i="1"/>
  <c r="G163" i="1"/>
  <c r="Z161" i="1"/>
  <c r="Y161" i="1"/>
  <c r="X161" i="1"/>
  <c r="N161" i="1"/>
  <c r="M161" i="1"/>
  <c r="L161" i="1"/>
  <c r="K161" i="1"/>
  <c r="J161" i="1"/>
  <c r="I161" i="1"/>
  <c r="H161" i="1"/>
  <c r="G161" i="1"/>
  <c r="Z160" i="1"/>
  <c r="Y160" i="1"/>
  <c r="X160" i="1"/>
  <c r="N160" i="1"/>
  <c r="M160" i="1"/>
  <c r="L160" i="1"/>
  <c r="K160" i="1"/>
  <c r="J160" i="1"/>
  <c r="I160" i="1"/>
  <c r="H160" i="1"/>
  <c r="G160" i="1"/>
  <c r="Z158" i="1"/>
  <c r="N158" i="1"/>
  <c r="Z156" i="1"/>
  <c r="Y156" i="1"/>
  <c r="X156" i="1"/>
  <c r="N156" i="1"/>
  <c r="M156" i="1"/>
  <c r="L156" i="1"/>
  <c r="K156" i="1"/>
  <c r="J156" i="1"/>
  <c r="I156" i="1"/>
  <c r="H156" i="1"/>
  <c r="G156" i="1"/>
  <c r="Z155" i="1"/>
  <c r="Y155" i="1"/>
  <c r="X155" i="1"/>
  <c r="N155" i="1"/>
  <c r="M155" i="1"/>
  <c r="L155" i="1"/>
  <c r="K155" i="1"/>
  <c r="J155" i="1"/>
  <c r="I155" i="1"/>
  <c r="H155" i="1"/>
  <c r="G155" i="1"/>
  <c r="Z153" i="1"/>
  <c r="M153" i="1"/>
  <c r="Z152" i="1"/>
  <c r="Y152" i="1"/>
  <c r="X152" i="1"/>
  <c r="N152" i="1"/>
  <c r="M152" i="1"/>
  <c r="L152" i="1"/>
  <c r="K152" i="1"/>
  <c r="J152" i="1"/>
  <c r="I152" i="1"/>
  <c r="H152" i="1"/>
  <c r="G152" i="1"/>
  <c r="K150" i="1"/>
  <c r="Z148" i="1"/>
  <c r="Z147" i="1"/>
  <c r="N147" i="1"/>
  <c r="K147" i="1"/>
  <c r="J147" i="1"/>
  <c r="I147" i="1"/>
  <c r="G147" i="1"/>
  <c r="M139" i="1"/>
  <c r="M140" i="1" s="1"/>
  <c r="K139" i="1"/>
  <c r="K140" i="1" s="1"/>
  <c r="N137" i="1"/>
  <c r="M137" i="1"/>
  <c r="L137" i="1"/>
  <c r="K137" i="1"/>
  <c r="G137" i="1"/>
  <c r="Z136" i="1"/>
  <c r="Z137" i="1" s="1"/>
  <c r="Y136" i="1"/>
  <c r="Y137" i="1" s="1"/>
  <c r="X136" i="1"/>
  <c r="X137" i="1" s="1"/>
  <c r="N136" i="1"/>
  <c r="M136" i="1"/>
  <c r="L136" i="1"/>
  <c r="K136" i="1"/>
  <c r="J136" i="1"/>
  <c r="J137" i="1" s="1"/>
  <c r="I136" i="1"/>
  <c r="I137" i="1" s="1"/>
  <c r="H136" i="1"/>
  <c r="H137" i="1" s="1"/>
  <c r="G136" i="1"/>
  <c r="Q133" i="1"/>
  <c r="R133" i="1" s="1"/>
  <c r="O133" i="1"/>
  <c r="P133" i="1" s="1"/>
  <c r="P131" i="1"/>
  <c r="O131" i="1"/>
  <c r="AB128" i="1"/>
  <c r="AA128" i="1"/>
  <c r="M125" i="1"/>
  <c r="Z124" i="1"/>
  <c r="K124" i="1"/>
  <c r="K125" i="1" s="1"/>
  <c r="J124" i="1"/>
  <c r="J125" i="1" s="1"/>
  <c r="I124" i="1"/>
  <c r="R122" i="1"/>
  <c r="S122" i="1" s="1"/>
  <c r="T122" i="1" s="1"/>
  <c r="U122" i="1" s="1"/>
  <c r="V122" i="1" s="1"/>
  <c r="AB122" i="1" s="1"/>
  <c r="AC122" i="1" s="1"/>
  <c r="AD122" i="1" s="1"/>
  <c r="AE122" i="1" s="1"/>
  <c r="P122" i="1"/>
  <c r="Q122" i="1" s="1"/>
  <c r="O122" i="1"/>
  <c r="O121" i="1"/>
  <c r="P121" i="1" s="1"/>
  <c r="Q121" i="1" s="1"/>
  <c r="R121" i="1" s="1"/>
  <c r="S121" i="1" s="1"/>
  <c r="T121" i="1" s="1"/>
  <c r="U121" i="1" s="1"/>
  <c r="V121" i="1" s="1"/>
  <c r="AB121" i="1" s="1"/>
  <c r="AC121" i="1" s="1"/>
  <c r="AD121" i="1" s="1"/>
  <c r="AE121" i="1" s="1"/>
  <c r="Z119" i="1"/>
  <c r="Y119" i="1"/>
  <c r="N119" i="1"/>
  <c r="M119" i="1"/>
  <c r="I119" i="1"/>
  <c r="Z118" i="1"/>
  <c r="Y118" i="1"/>
  <c r="Y148" i="1" s="1"/>
  <c r="X118" i="1"/>
  <c r="N118" i="1"/>
  <c r="N148" i="1" s="1"/>
  <c r="M118" i="1"/>
  <c r="M124" i="1" s="1"/>
  <c r="L118" i="1"/>
  <c r="K118" i="1"/>
  <c r="J118" i="1"/>
  <c r="I118" i="1"/>
  <c r="I148" i="1" s="1"/>
  <c r="H118" i="1"/>
  <c r="H124" i="1" s="1"/>
  <c r="G118" i="1"/>
  <c r="L112" i="1"/>
  <c r="X111" i="1"/>
  <c r="X112" i="1" s="1"/>
  <c r="N111" i="1"/>
  <c r="M111" i="1"/>
  <c r="L111" i="1"/>
  <c r="O109" i="1"/>
  <c r="P109" i="1" s="1"/>
  <c r="Q109" i="1" s="1"/>
  <c r="R109" i="1" s="1"/>
  <c r="S109" i="1" s="1"/>
  <c r="T109" i="1" s="1"/>
  <c r="U109" i="1" s="1"/>
  <c r="V109" i="1" s="1"/>
  <c r="AB109" i="1" s="1"/>
  <c r="AC109" i="1" s="1"/>
  <c r="AD109" i="1" s="1"/>
  <c r="AE109" i="1" s="1"/>
  <c r="O108" i="1"/>
  <c r="P108" i="1" s="1"/>
  <c r="Q108" i="1" s="1"/>
  <c r="R108" i="1" s="1"/>
  <c r="Z105" i="1"/>
  <c r="X105" i="1"/>
  <c r="N105" i="1"/>
  <c r="M105" i="1"/>
  <c r="L105" i="1"/>
  <c r="Z104" i="1"/>
  <c r="Z150" i="1" s="1"/>
  <c r="Y104" i="1"/>
  <c r="X104" i="1"/>
  <c r="N104" i="1"/>
  <c r="N150" i="1" s="1"/>
  <c r="M104" i="1"/>
  <c r="M147" i="1" s="1"/>
  <c r="L104" i="1"/>
  <c r="K104" i="1"/>
  <c r="K111" i="1" s="1"/>
  <c r="J104" i="1"/>
  <c r="J150" i="1" s="1"/>
  <c r="I104" i="1"/>
  <c r="H104" i="1"/>
  <c r="G104" i="1"/>
  <c r="G150" i="1" s="1"/>
  <c r="V103" i="1"/>
  <c r="P103" i="1"/>
  <c r="AC102" i="1"/>
  <c r="P101" i="1"/>
  <c r="AE100" i="1"/>
  <c r="O99" i="1"/>
  <c r="P99" i="1" s="1"/>
  <c r="Q99" i="1" s="1"/>
  <c r="R99" i="1" s="1"/>
  <c r="P98" i="1"/>
  <c r="Q98" i="1" s="1"/>
  <c r="R98" i="1" s="1"/>
  <c r="O98" i="1"/>
  <c r="Z88" i="1"/>
  <c r="Y88" i="1"/>
  <c r="X88" i="1"/>
  <c r="N88" i="1"/>
  <c r="I88" i="1"/>
  <c r="H88" i="1"/>
  <c r="G88" i="1"/>
  <c r="AE86" i="1"/>
  <c r="AE88" i="1" s="1"/>
  <c r="AD86" i="1"/>
  <c r="AD88" i="1" s="1"/>
  <c r="AD89" i="1" s="1"/>
  <c r="AC86" i="1"/>
  <c r="AC88" i="1" s="1"/>
  <c r="Z86" i="1"/>
  <c r="Y86" i="1"/>
  <c r="X86" i="1"/>
  <c r="V86" i="1"/>
  <c r="V10" i="1" s="1"/>
  <c r="T86" i="1"/>
  <c r="T88" i="1" s="1"/>
  <c r="T89" i="1" s="1"/>
  <c r="P86" i="1"/>
  <c r="P88" i="1" s="1"/>
  <c r="P89" i="1" s="1"/>
  <c r="N86" i="1"/>
  <c r="M86" i="1"/>
  <c r="M88" i="1" s="1"/>
  <c r="L86" i="1"/>
  <c r="L88" i="1" s="1"/>
  <c r="K86" i="1"/>
  <c r="K88" i="1" s="1"/>
  <c r="J86" i="1"/>
  <c r="J88" i="1" s="1"/>
  <c r="I86" i="1"/>
  <c r="H86" i="1"/>
  <c r="G86" i="1"/>
  <c r="AE82" i="1"/>
  <c r="AD82" i="1"/>
  <c r="AC82" i="1"/>
  <c r="AB82" i="1"/>
  <c r="AA82" i="1"/>
  <c r="V82" i="1"/>
  <c r="U82" i="1"/>
  <c r="U86" i="1" s="1"/>
  <c r="U88" i="1" s="1"/>
  <c r="T82" i="1"/>
  <c r="S82" i="1"/>
  <c r="S86" i="1" s="1"/>
  <c r="R82" i="1"/>
  <c r="R86" i="1" s="1"/>
  <c r="R10" i="1" s="1"/>
  <c r="Q82" i="1"/>
  <c r="Q86" i="1" s="1"/>
  <c r="Q88" i="1" s="1"/>
  <c r="P82" i="1"/>
  <c r="O82" i="1"/>
  <c r="O86" i="1" s="1"/>
  <c r="AE78" i="1"/>
  <c r="AD78" i="1"/>
  <c r="AC78" i="1"/>
  <c r="AB78" i="1"/>
  <c r="AA78" i="1"/>
  <c r="V78" i="1"/>
  <c r="U78" i="1"/>
  <c r="T78" i="1"/>
  <c r="S78" i="1"/>
  <c r="R78" i="1"/>
  <c r="Q78" i="1"/>
  <c r="P78" i="1"/>
  <c r="O78" i="1"/>
  <c r="Z71" i="1"/>
  <c r="Y71" i="1"/>
  <c r="X71" i="1"/>
  <c r="V71" i="1"/>
  <c r="T71" i="1"/>
  <c r="N71" i="1"/>
  <c r="M71" i="1"/>
  <c r="L71" i="1"/>
  <c r="K71" i="1"/>
  <c r="J71" i="1"/>
  <c r="I71" i="1"/>
  <c r="H71" i="1"/>
  <c r="G71" i="1"/>
  <c r="Z69" i="1"/>
  <c r="Y69" i="1"/>
  <c r="X69" i="1"/>
  <c r="N69" i="1"/>
  <c r="M69" i="1"/>
  <c r="L69" i="1"/>
  <c r="K69" i="1"/>
  <c r="J69" i="1"/>
  <c r="I69" i="1"/>
  <c r="H69" i="1"/>
  <c r="G69" i="1"/>
  <c r="Z60" i="1"/>
  <c r="I60" i="1"/>
  <c r="H60" i="1"/>
  <c r="Z59" i="1"/>
  <c r="Y59" i="1"/>
  <c r="X59" i="1"/>
  <c r="N59" i="1"/>
  <c r="M59" i="1"/>
  <c r="L59" i="1"/>
  <c r="K59" i="1"/>
  <c r="J59" i="1"/>
  <c r="I59" i="1"/>
  <c r="H59" i="1"/>
  <c r="G59" i="1"/>
  <c r="Z58" i="1"/>
  <c r="Y58" i="1"/>
  <c r="X58" i="1"/>
  <c r="V58" i="1"/>
  <c r="N58" i="1"/>
  <c r="M58" i="1"/>
  <c r="L58" i="1"/>
  <c r="K58" i="1"/>
  <c r="J58" i="1"/>
  <c r="I58" i="1"/>
  <c r="H58" i="1"/>
  <c r="G58" i="1"/>
  <c r="Z57" i="1"/>
  <c r="Y57" i="1"/>
  <c r="X57" i="1"/>
  <c r="N57" i="1"/>
  <c r="M57" i="1"/>
  <c r="L57" i="1"/>
  <c r="K57" i="1"/>
  <c r="J57" i="1"/>
  <c r="I57" i="1"/>
  <c r="H57" i="1"/>
  <c r="G57" i="1"/>
  <c r="Z56" i="1"/>
  <c r="Y56" i="1"/>
  <c r="X56" i="1"/>
  <c r="N56" i="1"/>
  <c r="M56" i="1"/>
  <c r="L56" i="1"/>
  <c r="K56" i="1"/>
  <c r="J56" i="1"/>
  <c r="I56" i="1"/>
  <c r="H56" i="1"/>
  <c r="G56" i="1"/>
  <c r="Z55" i="1"/>
  <c r="Y55" i="1"/>
  <c r="X55" i="1"/>
  <c r="N55" i="1"/>
  <c r="M55" i="1"/>
  <c r="L55" i="1"/>
  <c r="K55" i="1"/>
  <c r="J55" i="1"/>
  <c r="I55" i="1"/>
  <c r="H55" i="1"/>
  <c r="G55" i="1"/>
  <c r="Z54" i="1"/>
  <c r="Y54" i="1"/>
  <c r="X54" i="1"/>
  <c r="N54" i="1"/>
  <c r="M54" i="1"/>
  <c r="L54" i="1"/>
  <c r="K54" i="1"/>
  <c r="J54" i="1"/>
  <c r="I54" i="1"/>
  <c r="H54" i="1"/>
  <c r="G54" i="1"/>
  <c r="Z52" i="1"/>
  <c r="Y52" i="1"/>
  <c r="X52" i="1"/>
  <c r="N52" i="1"/>
  <c r="M52" i="1"/>
  <c r="L52" i="1"/>
  <c r="K52" i="1"/>
  <c r="J52" i="1"/>
  <c r="I52" i="1"/>
  <c r="H52" i="1"/>
  <c r="G52" i="1"/>
  <c r="Y51" i="1"/>
  <c r="X51" i="1"/>
  <c r="H51" i="1"/>
  <c r="AE49" i="1"/>
  <c r="T49" i="1"/>
  <c r="N33" i="1"/>
  <c r="AB32" i="1"/>
  <c r="AA32" i="1"/>
  <c r="Z29" i="1"/>
  <c r="Y29" i="1"/>
  <c r="X29" i="1"/>
  <c r="N29" i="1"/>
  <c r="M29" i="1"/>
  <c r="L29" i="1"/>
  <c r="K29" i="1"/>
  <c r="J29" i="1"/>
  <c r="I29" i="1"/>
  <c r="H29" i="1"/>
  <c r="G29" i="1"/>
  <c r="N27" i="1"/>
  <c r="Z26" i="1"/>
  <c r="Y26" i="1"/>
  <c r="N26" i="1"/>
  <c r="N62" i="1" s="1"/>
  <c r="M26" i="1"/>
  <c r="M62" i="1" s="1"/>
  <c r="Z24" i="1"/>
  <c r="Y24" i="1"/>
  <c r="X24" i="1"/>
  <c r="N24" i="1"/>
  <c r="M24" i="1"/>
  <c r="I24" i="1"/>
  <c r="Z23" i="1"/>
  <c r="Z157" i="1" s="1"/>
  <c r="Y23" i="1"/>
  <c r="X23" i="1"/>
  <c r="X153" i="1" s="1"/>
  <c r="N23" i="1"/>
  <c r="M23" i="1"/>
  <c r="L23" i="1"/>
  <c r="K23" i="1"/>
  <c r="K158" i="1" s="1"/>
  <c r="J23" i="1"/>
  <c r="I23" i="1"/>
  <c r="H23" i="1"/>
  <c r="G23" i="1"/>
  <c r="G157" i="1" s="1"/>
  <c r="AE22" i="1"/>
  <c r="AE59" i="1" s="1"/>
  <c r="AC22" i="1"/>
  <c r="V22" i="1"/>
  <c r="AE21" i="1"/>
  <c r="AE58" i="1" s="1"/>
  <c r="V21" i="1"/>
  <c r="T21" i="1"/>
  <c r="T58" i="1" s="1"/>
  <c r="P21" i="1"/>
  <c r="P58" i="1" s="1"/>
  <c r="T20" i="1"/>
  <c r="T57" i="1" s="1"/>
  <c r="V19" i="1"/>
  <c r="V56" i="1" s="1"/>
  <c r="T19" i="1"/>
  <c r="T56" i="1" s="1"/>
  <c r="AC18" i="1"/>
  <c r="AC55" i="1" s="1"/>
  <c r="V18" i="1"/>
  <c r="V55" i="1" s="1"/>
  <c r="AE17" i="1"/>
  <c r="AE54" i="1" s="1"/>
  <c r="AD17" i="1"/>
  <c r="AD54" i="1" s="1"/>
  <c r="AC17" i="1"/>
  <c r="AC54" i="1" s="1"/>
  <c r="P17" i="1"/>
  <c r="P54" i="1" s="1"/>
  <c r="Z15" i="1"/>
  <c r="Y15" i="1"/>
  <c r="K15" i="1"/>
  <c r="H15" i="1"/>
  <c r="Z14" i="1"/>
  <c r="Z51" i="1" s="1"/>
  <c r="Y14" i="1"/>
  <c r="X14" i="1"/>
  <c r="X26" i="1" s="1"/>
  <c r="N14" i="1"/>
  <c r="N15" i="1" s="1"/>
  <c r="M14" i="1"/>
  <c r="M15" i="1" s="1"/>
  <c r="L14" i="1"/>
  <c r="L51" i="1" s="1"/>
  <c r="K14" i="1"/>
  <c r="K51" i="1" s="1"/>
  <c r="J14" i="1"/>
  <c r="J26" i="1" s="1"/>
  <c r="J27" i="1" s="1"/>
  <c r="I14" i="1"/>
  <c r="I26" i="1" s="1"/>
  <c r="H14" i="1"/>
  <c r="G14" i="1"/>
  <c r="G26" i="1" s="1"/>
  <c r="V12" i="1"/>
  <c r="V52" i="1" s="1"/>
  <c r="U12" i="1"/>
  <c r="U52" i="1" s="1"/>
  <c r="T12" i="1"/>
  <c r="T52" i="1" s="1"/>
  <c r="AE10" i="1"/>
  <c r="AE103" i="1" s="1"/>
  <c r="AD10" i="1"/>
  <c r="AD103" i="1" s="1"/>
  <c r="AC10" i="1"/>
  <c r="U10" i="1"/>
  <c r="U19" i="1" s="1"/>
  <c r="U56" i="1" s="1"/>
  <c r="T10" i="1"/>
  <c r="S10" i="1"/>
  <c r="P10" i="1"/>
  <c r="P100" i="1" s="1"/>
  <c r="AG3" i="1"/>
  <c r="B2" i="1"/>
  <c r="B1" i="1"/>
  <c r="Z49" i="1"/>
  <c r="N49" i="1"/>
  <c r="M49" i="1"/>
  <c r="Y49" i="1"/>
  <c r="L49" i="1"/>
  <c r="X49" i="1"/>
  <c r="K49" i="1"/>
  <c r="J49" i="1"/>
  <c r="I49" i="1"/>
  <c r="H49" i="1"/>
  <c r="G49" i="1"/>
  <c r="G30" i="1" l="1"/>
  <c r="G63" i="1" s="1"/>
  <c r="G27" i="1"/>
  <c r="G33" i="1"/>
  <c r="G62" i="1"/>
  <c r="I62" i="1"/>
  <c r="I27" i="1"/>
  <c r="I33" i="1"/>
  <c r="I30" i="1"/>
  <c r="I63" i="1" s="1"/>
  <c r="R214" i="1"/>
  <c r="R213" i="1"/>
  <c r="R186" i="1"/>
  <c r="R250" i="1" s="1"/>
  <c r="R69" i="1"/>
  <c r="R71" i="1"/>
  <c r="R18" i="1"/>
  <c r="R55" i="1" s="1"/>
  <c r="R14" i="1"/>
  <c r="R117" i="1"/>
  <c r="R103" i="1"/>
  <c r="R101" i="1"/>
  <c r="R102" i="1"/>
  <c r="R100" i="1"/>
  <c r="R19" i="1"/>
  <c r="R56" i="1" s="1"/>
  <c r="R17" i="1"/>
  <c r="V49" i="1"/>
  <c r="R22" i="1"/>
  <c r="R21" i="1"/>
  <c r="R58" i="1" s="1"/>
  <c r="R12" i="1"/>
  <c r="R52" i="1" s="1"/>
  <c r="R49" i="1"/>
  <c r="R20" i="1"/>
  <c r="R57" i="1" s="1"/>
  <c r="AD198" i="1"/>
  <c r="AD156" i="1"/>
  <c r="AE156" i="1"/>
  <c r="AE198" i="1"/>
  <c r="X33" i="1"/>
  <c r="X27" i="1"/>
  <c r="X30" i="1"/>
  <c r="X63" i="1" s="1"/>
  <c r="X62" i="1"/>
  <c r="S98" i="1"/>
  <c r="T98" i="1" s="1"/>
  <c r="U98" i="1" s="1"/>
  <c r="V98" i="1" s="1"/>
  <c r="AB98" i="1" s="1"/>
  <c r="AC98" i="1" s="1"/>
  <c r="AD98" i="1" s="1"/>
  <c r="AE98" i="1" s="1"/>
  <c r="AA98" i="1"/>
  <c r="S133" i="1"/>
  <c r="T133" i="1" s="1"/>
  <c r="U133" i="1" s="1"/>
  <c r="V133" i="1" s="1"/>
  <c r="AB133" i="1" s="1"/>
  <c r="AC133" i="1" s="1"/>
  <c r="AD133" i="1" s="1"/>
  <c r="AE133" i="1" s="1"/>
  <c r="AA133" i="1"/>
  <c r="AA99" i="1"/>
  <c r="S99" i="1"/>
  <c r="T99" i="1" s="1"/>
  <c r="U99" i="1" s="1"/>
  <c r="V99" i="1" s="1"/>
  <c r="AB99" i="1" s="1"/>
  <c r="AC99" i="1" s="1"/>
  <c r="AD99" i="1" s="1"/>
  <c r="AE99" i="1" s="1"/>
  <c r="S214" i="1"/>
  <c r="AB214" i="1" s="1"/>
  <c r="S213" i="1"/>
  <c r="S186" i="1"/>
  <c r="S69" i="1"/>
  <c r="S101" i="1"/>
  <c r="S21" i="1"/>
  <c r="S12" i="1"/>
  <c r="S117" i="1"/>
  <c r="S103" i="1"/>
  <c r="S102" i="1"/>
  <c r="S100" i="1"/>
  <c r="S196" i="1" s="1"/>
  <c r="AC184" i="1"/>
  <c r="AC29" i="1" s="1"/>
  <c r="Y27" i="1"/>
  <c r="Y62" i="1"/>
  <c r="N65" i="1"/>
  <c r="N64" i="1"/>
  <c r="AC163" i="1"/>
  <c r="Y147" i="1"/>
  <c r="Y150" i="1"/>
  <c r="Y105" i="1"/>
  <c r="N112" i="1"/>
  <c r="H125" i="1"/>
  <c r="H139" i="1"/>
  <c r="H140" i="1" s="1"/>
  <c r="X124" i="1"/>
  <c r="X148" i="1"/>
  <c r="T214" i="1"/>
  <c r="T213" i="1"/>
  <c r="T241" i="1" s="1"/>
  <c r="T246" i="1" s="1"/>
  <c r="T186" i="1"/>
  <c r="T250" i="1" s="1"/>
  <c r="T101" i="1"/>
  <c r="T117" i="1"/>
  <c r="T202" i="1" s="1"/>
  <c r="T103" i="1"/>
  <c r="T102" i="1"/>
  <c r="T100" i="1"/>
  <c r="T196" i="1" s="1"/>
  <c r="S20" i="1"/>
  <c r="Z33" i="1"/>
  <c r="Z62" i="1"/>
  <c r="N34" i="1"/>
  <c r="G51" i="1"/>
  <c r="S71" i="1"/>
  <c r="AE89" i="1"/>
  <c r="K112" i="1"/>
  <c r="K142" i="1"/>
  <c r="X150" i="1"/>
  <c r="U214" i="1"/>
  <c r="U213" i="1"/>
  <c r="U241" i="1" s="1"/>
  <c r="U246" i="1" s="1"/>
  <c r="U186" i="1"/>
  <c r="U250" i="1" s="1"/>
  <c r="U103" i="1"/>
  <c r="V198" i="1" s="1"/>
  <c r="U17" i="1"/>
  <c r="U102" i="1"/>
  <c r="U100" i="1"/>
  <c r="U101" i="1"/>
  <c r="T14" i="1"/>
  <c r="G15" i="1"/>
  <c r="M27" i="1"/>
  <c r="J30" i="1"/>
  <c r="J63" i="1" s="1"/>
  <c r="O88" i="1"/>
  <c r="O89" i="1" s="1"/>
  <c r="AA86" i="1"/>
  <c r="AA88" i="1" s="1"/>
  <c r="AA89" i="1" s="1"/>
  <c r="P152" i="1"/>
  <c r="P155" i="1"/>
  <c r="P156" i="1"/>
  <c r="Z125" i="1"/>
  <c r="Z139" i="1"/>
  <c r="Z140" i="1" s="1"/>
  <c r="G158" i="1"/>
  <c r="U14" i="1"/>
  <c r="U20" i="1"/>
  <c r="U57" i="1" s="1"/>
  <c r="H158" i="1"/>
  <c r="H153" i="1"/>
  <c r="AD23" i="1"/>
  <c r="N37" i="1"/>
  <c r="I51" i="1"/>
  <c r="J62" i="1"/>
  <c r="U71" i="1"/>
  <c r="AB10" i="1"/>
  <c r="V14" i="1"/>
  <c r="I15" i="1"/>
  <c r="AD18" i="1"/>
  <c r="AD55" i="1" s="1"/>
  <c r="U21" i="1"/>
  <c r="U58" i="1" s="1"/>
  <c r="S22" i="1"/>
  <c r="I158" i="1"/>
  <c r="I157" i="1"/>
  <c r="M30" i="1"/>
  <c r="M63" i="1" s="1"/>
  <c r="Y30" i="1"/>
  <c r="Y63" i="1" s="1"/>
  <c r="J51" i="1"/>
  <c r="Q89" i="1"/>
  <c r="AB103" i="1"/>
  <c r="AB156" i="1" s="1"/>
  <c r="V156" i="1"/>
  <c r="AA109" i="1"/>
  <c r="L150" i="1"/>
  <c r="L119" i="1"/>
  <c r="AA122" i="1"/>
  <c r="Q131" i="1"/>
  <c r="AC186" i="1"/>
  <c r="AC250" i="1" s="1"/>
  <c r="AC213" i="1"/>
  <c r="AC241" i="1" s="1"/>
  <c r="AC246" i="1" s="1"/>
  <c r="AC117" i="1"/>
  <c r="AC69" i="1"/>
  <c r="AC214" i="1"/>
  <c r="AC71" i="1"/>
  <c r="AC19" i="1"/>
  <c r="AC56" i="1" s="1"/>
  <c r="AC103" i="1"/>
  <c r="AC101" i="1"/>
  <c r="J15" i="1"/>
  <c r="P18" i="1"/>
  <c r="AE18" i="1"/>
  <c r="AE55" i="1" s="1"/>
  <c r="AD19" i="1"/>
  <c r="AD56" i="1" s="1"/>
  <c r="T22" i="1"/>
  <c r="J157" i="1"/>
  <c r="J60" i="1"/>
  <c r="J158" i="1"/>
  <c r="J153" i="1"/>
  <c r="G24" i="1"/>
  <c r="Z27" i="1"/>
  <c r="N30" i="1"/>
  <c r="N63" i="1" s="1"/>
  <c r="Z30" i="1"/>
  <c r="Z63" i="1" s="1"/>
  <c r="M51" i="1"/>
  <c r="V213" i="1"/>
  <c r="V214" i="1"/>
  <c r="V100" i="1"/>
  <c r="V102" i="1"/>
  <c r="V20" i="1"/>
  <c r="V57" i="1" s="1"/>
  <c r="V101" i="1"/>
  <c r="V186" i="1"/>
  <c r="V250" i="1" s="1"/>
  <c r="V117" i="1"/>
  <c r="AD101" i="1"/>
  <c r="Y111" i="1"/>
  <c r="U117" i="1"/>
  <c r="AA121" i="1"/>
  <c r="I125" i="1"/>
  <c r="I139" i="1"/>
  <c r="I140" i="1" s="1"/>
  <c r="L148" i="1"/>
  <c r="O10" i="1"/>
  <c r="AD186" i="1"/>
  <c r="AD250" i="1" s="1"/>
  <c r="AD214" i="1"/>
  <c r="AD213" i="1"/>
  <c r="AD241" i="1" s="1"/>
  <c r="AD246" i="1" s="1"/>
  <c r="AD117" i="1"/>
  <c r="AD69" i="1"/>
  <c r="AD102" i="1"/>
  <c r="AD22" i="1"/>
  <c r="AD100" i="1"/>
  <c r="S17" i="1"/>
  <c r="P19" i="1"/>
  <c r="P56" i="1" s="1"/>
  <c r="AE19" i="1"/>
  <c r="AE56" i="1" s="1"/>
  <c r="AC20" i="1"/>
  <c r="AC57" i="1" s="1"/>
  <c r="U22" i="1"/>
  <c r="K157" i="1"/>
  <c r="K24" i="1"/>
  <c r="K60" i="1"/>
  <c r="H24" i="1"/>
  <c r="H26" i="1"/>
  <c r="J33" i="1"/>
  <c r="N51" i="1"/>
  <c r="AC59" i="1"/>
  <c r="AB86" i="1"/>
  <c r="AB88" i="1" s="1"/>
  <c r="S88" i="1"/>
  <c r="S89" i="1" s="1"/>
  <c r="AE101" i="1"/>
  <c r="AA108" i="1"/>
  <c r="S108" i="1"/>
  <c r="T108" i="1" s="1"/>
  <c r="U108" i="1" s="1"/>
  <c r="V108" i="1" s="1"/>
  <c r="AB108" i="1" s="1"/>
  <c r="AC108" i="1" s="1"/>
  <c r="AD108" i="1" s="1"/>
  <c r="AE108" i="1" s="1"/>
  <c r="P186" i="1"/>
  <c r="P250" i="1" s="1"/>
  <c r="P214" i="1"/>
  <c r="P213" i="1"/>
  <c r="P241" i="1" s="1"/>
  <c r="P246" i="1" s="1"/>
  <c r="P117" i="1"/>
  <c r="P102" i="1"/>
  <c r="P49" i="1"/>
  <c r="P22" i="1"/>
  <c r="P69" i="1"/>
  <c r="P71" i="1"/>
  <c r="AE214" i="1"/>
  <c r="AE213" i="1"/>
  <c r="AE241" i="1" s="1"/>
  <c r="AE246" i="1" s="1"/>
  <c r="AE102" i="1"/>
  <c r="AE69" i="1"/>
  <c r="AE71" i="1"/>
  <c r="AC12" i="1"/>
  <c r="AC52" i="1" s="1"/>
  <c r="L15" i="1"/>
  <c r="T17" i="1"/>
  <c r="S18" i="1"/>
  <c r="AD20" i="1"/>
  <c r="AD57" i="1" s="1"/>
  <c r="V184" i="1"/>
  <c r="V29" i="1" s="1"/>
  <c r="V59" i="1"/>
  <c r="L158" i="1"/>
  <c r="L153" i="1"/>
  <c r="L157" i="1"/>
  <c r="L60" i="1"/>
  <c r="X158" i="1"/>
  <c r="X60" i="1"/>
  <c r="X157" i="1"/>
  <c r="T69" i="1"/>
  <c r="U89" i="1"/>
  <c r="G111" i="1"/>
  <c r="G105" i="1"/>
  <c r="G153" i="1"/>
  <c r="AE184" i="1"/>
  <c r="AE29" i="1" s="1"/>
  <c r="Q10" i="1"/>
  <c r="AD12" i="1"/>
  <c r="V17" i="1"/>
  <c r="T18" i="1"/>
  <c r="T55" i="1" s="1"/>
  <c r="P20" i="1"/>
  <c r="P57" i="1" s="1"/>
  <c r="AE20" i="1"/>
  <c r="AE57" i="1" s="1"/>
  <c r="AC21" i="1"/>
  <c r="AC58" i="1" s="1"/>
  <c r="M158" i="1"/>
  <c r="M157" i="1"/>
  <c r="M60" i="1"/>
  <c r="Y157" i="1"/>
  <c r="Y158" i="1"/>
  <c r="Y60" i="1"/>
  <c r="Y153" i="1"/>
  <c r="J24" i="1"/>
  <c r="K26" i="1"/>
  <c r="AC49" i="1"/>
  <c r="U69" i="1"/>
  <c r="AD71" i="1"/>
  <c r="R88" i="1"/>
  <c r="R89" i="1" s="1"/>
  <c r="H147" i="1"/>
  <c r="H150" i="1"/>
  <c r="H111" i="1"/>
  <c r="H105" i="1"/>
  <c r="AE117" i="1"/>
  <c r="AE202" i="1" s="1"/>
  <c r="L124" i="1"/>
  <c r="I153" i="1"/>
  <c r="P12" i="1"/>
  <c r="P52" i="1" s="1"/>
  <c r="AE12" i="1"/>
  <c r="X15" i="1"/>
  <c r="U18" i="1"/>
  <c r="U55" i="1" s="1"/>
  <c r="S19" i="1"/>
  <c r="AD21" i="1"/>
  <c r="AD58" i="1" s="1"/>
  <c r="N60" i="1"/>
  <c r="N153" i="1"/>
  <c r="N157" i="1"/>
  <c r="L24" i="1"/>
  <c r="L26" i="1"/>
  <c r="M33" i="1"/>
  <c r="Y33" i="1"/>
  <c r="AD49" i="1"/>
  <c r="G60" i="1"/>
  <c r="V69" i="1"/>
  <c r="AC89" i="1"/>
  <c r="V88" i="1"/>
  <c r="AC100" i="1"/>
  <c r="M142" i="1"/>
  <c r="G124" i="1"/>
  <c r="G119" i="1"/>
  <c r="G148" i="1"/>
  <c r="X119" i="1"/>
  <c r="K153" i="1"/>
  <c r="H157" i="1"/>
  <c r="Z111" i="1"/>
  <c r="M112" i="1"/>
  <c r="M148" i="1"/>
  <c r="I150" i="1"/>
  <c r="I111" i="1"/>
  <c r="I105" i="1"/>
  <c r="J105" i="1"/>
  <c r="J111" i="1"/>
  <c r="J148" i="1"/>
  <c r="J119" i="1"/>
  <c r="H148" i="1"/>
  <c r="M150" i="1"/>
  <c r="L147" i="1"/>
  <c r="X147" i="1"/>
  <c r="K105" i="1"/>
  <c r="K148" i="1"/>
  <c r="K119" i="1"/>
  <c r="H119" i="1"/>
  <c r="J139" i="1"/>
  <c r="J140" i="1" s="1"/>
  <c r="N124" i="1"/>
  <c r="Y124" i="1"/>
  <c r="Y65" i="1" l="1"/>
  <c r="Y64" i="1"/>
  <c r="Y34" i="1"/>
  <c r="Y37" i="1"/>
  <c r="AD52" i="1"/>
  <c r="AD14" i="1"/>
  <c r="T54" i="1"/>
  <c r="T23" i="1"/>
  <c r="P184" i="1"/>
  <c r="P29" i="1" s="1"/>
  <c r="P59" i="1"/>
  <c r="U184" i="1"/>
  <c r="U29" i="1" s="1"/>
  <c r="U59" i="1"/>
  <c r="AD197" i="1"/>
  <c r="AD152" i="1"/>
  <c r="AD155" i="1"/>
  <c r="AC202" i="1"/>
  <c r="AD115" i="1"/>
  <c r="AD116" i="1"/>
  <c r="AD60" i="1"/>
  <c r="U152" i="1"/>
  <c r="U197" i="1"/>
  <c r="U155" i="1"/>
  <c r="S52" i="1"/>
  <c r="AB12" i="1"/>
  <c r="AB52" i="1" s="1"/>
  <c r="R163" i="1"/>
  <c r="AA102" i="1"/>
  <c r="M64" i="1"/>
  <c r="M37" i="1"/>
  <c r="M65" i="1"/>
  <c r="M34" i="1"/>
  <c r="P14" i="1"/>
  <c r="Q214" i="1"/>
  <c r="Q213" i="1"/>
  <c r="Q241" i="1" s="1"/>
  <c r="Q246" i="1" s="1"/>
  <c r="Q102" i="1"/>
  <c r="Q186" i="1"/>
  <c r="Q250" i="1" s="1"/>
  <c r="Q69" i="1"/>
  <c r="Q71" i="1"/>
  <c r="Q117" i="1"/>
  <c r="Q202" i="1" s="1"/>
  <c r="Q49" i="1"/>
  <c r="Q20" i="1"/>
  <c r="Q57" i="1" s="1"/>
  <c r="Q100" i="1"/>
  <c r="Q196" i="1" s="1"/>
  <c r="Q19" i="1"/>
  <c r="Q56" i="1" s="1"/>
  <c r="Q18" i="1"/>
  <c r="Q55" i="1" s="1"/>
  <c r="Q17" i="1"/>
  <c r="Q103" i="1"/>
  <c r="Q101" i="1"/>
  <c r="Q22" i="1"/>
  <c r="Q21" i="1"/>
  <c r="Q58" i="1" s="1"/>
  <c r="Q12" i="1"/>
  <c r="Q52" i="1" s="1"/>
  <c r="AB89" i="1"/>
  <c r="V202" i="1"/>
  <c r="AB117" i="1"/>
  <c r="P55" i="1"/>
  <c r="P23" i="1"/>
  <c r="U196" i="1"/>
  <c r="T163" i="1"/>
  <c r="T211" i="1"/>
  <c r="AB21" i="1"/>
  <c r="AB58" i="1" s="1"/>
  <c r="S58" i="1"/>
  <c r="R155" i="1"/>
  <c r="R152" i="1"/>
  <c r="AA101" i="1"/>
  <c r="I112" i="1"/>
  <c r="I142" i="1"/>
  <c r="G139" i="1"/>
  <c r="G140" i="1" s="1"/>
  <c r="G125" i="1"/>
  <c r="L62" i="1"/>
  <c r="L33" i="1"/>
  <c r="L30" i="1"/>
  <c r="L63" i="1" s="1"/>
  <c r="L27" i="1"/>
  <c r="AE52" i="1"/>
  <c r="AE14" i="1"/>
  <c r="P211" i="1"/>
  <c r="P163" i="1"/>
  <c r="U163" i="1"/>
  <c r="U211" i="1"/>
  <c r="T156" i="1"/>
  <c r="T198" i="1"/>
  <c r="S197" i="1"/>
  <c r="S152" i="1"/>
  <c r="S155" i="1"/>
  <c r="AA103" i="1"/>
  <c r="R156" i="1"/>
  <c r="R198" i="1"/>
  <c r="I37" i="1"/>
  <c r="I34" i="1"/>
  <c r="I65" i="1"/>
  <c r="I64" i="1"/>
  <c r="O186" i="1"/>
  <c r="O213" i="1"/>
  <c r="O214" i="1"/>
  <c r="AA214" i="1" s="1"/>
  <c r="O71" i="1"/>
  <c r="O117" i="1"/>
  <c r="O202" i="1" s="1"/>
  <c r="O19" i="1"/>
  <c r="O49" i="1"/>
  <c r="O69" i="1"/>
  <c r="O21" i="1"/>
  <c r="O12" i="1"/>
  <c r="O102" i="1"/>
  <c r="O20" i="1"/>
  <c r="O100" i="1"/>
  <c r="O18" i="1"/>
  <c r="AA10" i="1"/>
  <c r="AB49" i="1" s="1"/>
  <c r="O17" i="1"/>
  <c r="O103" i="1"/>
  <c r="O101" i="1"/>
  <c r="O22" i="1"/>
  <c r="V197" i="1"/>
  <c r="V155" i="1"/>
  <c r="AB101" i="1"/>
  <c r="V152" i="1"/>
  <c r="AC197" i="1"/>
  <c r="AC155" i="1"/>
  <c r="AC152" i="1"/>
  <c r="R131" i="1"/>
  <c r="V51" i="1"/>
  <c r="U54" i="1"/>
  <c r="U23" i="1"/>
  <c r="R202" i="1"/>
  <c r="AA117" i="1"/>
  <c r="AC196" i="1"/>
  <c r="J64" i="1"/>
  <c r="J37" i="1"/>
  <c r="J34" i="1"/>
  <c r="J65" i="1"/>
  <c r="S54" i="1"/>
  <c r="S23" i="1"/>
  <c r="AB17" i="1"/>
  <c r="AB54" i="1" s="1"/>
  <c r="AC198" i="1"/>
  <c r="AC156" i="1"/>
  <c r="AB71" i="1"/>
  <c r="AB69" i="1"/>
  <c r="U51" i="1"/>
  <c r="U156" i="1"/>
  <c r="U198" i="1"/>
  <c r="S49" i="1"/>
  <c r="T197" i="1"/>
  <c r="T155" i="1"/>
  <c r="T152" i="1"/>
  <c r="AB186" i="1"/>
  <c r="AB250" i="1" s="1"/>
  <c r="S250" i="1"/>
  <c r="R26" i="1"/>
  <c r="R51" i="1"/>
  <c r="V89" i="1"/>
  <c r="L139" i="1"/>
  <c r="L125" i="1"/>
  <c r="G112" i="1"/>
  <c r="AE211" i="1"/>
  <c r="AE163" i="1"/>
  <c r="H62" i="1"/>
  <c r="H27" i="1"/>
  <c r="H33" i="1"/>
  <c r="H30" i="1"/>
  <c r="H63" i="1" s="1"/>
  <c r="AD196" i="1"/>
  <c r="V211" i="1"/>
  <c r="AB102" i="1"/>
  <c r="V163" i="1"/>
  <c r="AC14" i="1"/>
  <c r="AB213" i="1"/>
  <c r="AB241" i="1" s="1"/>
  <c r="AB246" i="1" s="1"/>
  <c r="S241" i="1"/>
  <c r="S246" i="1" s="1"/>
  <c r="R184" i="1"/>
  <c r="R29" i="1" s="1"/>
  <c r="R59" i="1"/>
  <c r="Y139" i="1"/>
  <c r="Y140" i="1" s="1"/>
  <c r="Y125" i="1"/>
  <c r="Z142" i="1"/>
  <c r="Z112" i="1"/>
  <c r="K30" i="1"/>
  <c r="K63" i="1" s="1"/>
  <c r="K33" i="1"/>
  <c r="K62" i="1"/>
  <c r="K27" i="1"/>
  <c r="AD184" i="1"/>
  <c r="AD29" i="1" s="1"/>
  <c r="AD59" i="1"/>
  <c r="V196" i="1"/>
  <c r="AB100" i="1"/>
  <c r="AE23" i="1"/>
  <c r="AB196" i="1"/>
  <c r="X65" i="1"/>
  <c r="X64" i="1"/>
  <c r="X34" i="1"/>
  <c r="X37" i="1"/>
  <c r="G65" i="1"/>
  <c r="G37" i="1"/>
  <c r="G34" i="1"/>
  <c r="G64" i="1"/>
  <c r="N125" i="1"/>
  <c r="N139" i="1"/>
  <c r="AD211" i="1"/>
  <c r="AD163" i="1"/>
  <c r="AC23" i="1"/>
  <c r="Z65" i="1"/>
  <c r="Z64" i="1"/>
  <c r="Z34" i="1"/>
  <c r="Z37" i="1"/>
  <c r="S163" i="1"/>
  <c r="S211" i="1"/>
  <c r="R54" i="1"/>
  <c r="R23" i="1"/>
  <c r="AB19" i="1"/>
  <c r="AB56" i="1" s="1"/>
  <c r="S56" i="1"/>
  <c r="U202" i="1"/>
  <c r="V241" i="1"/>
  <c r="V246" i="1" s="1"/>
  <c r="T184" i="1"/>
  <c r="T29" i="1" s="1"/>
  <c r="T59" i="1"/>
  <c r="U49" i="1"/>
  <c r="S57" i="1"/>
  <c r="AB20" i="1"/>
  <c r="AB57" i="1" s="1"/>
  <c r="S156" i="1"/>
  <c r="S198" i="1"/>
  <c r="J112" i="1"/>
  <c r="J142" i="1"/>
  <c r="H112" i="1"/>
  <c r="H142" i="1"/>
  <c r="V54" i="1"/>
  <c r="V23" i="1"/>
  <c r="S55" i="1"/>
  <c r="AB18" i="1"/>
  <c r="AB55" i="1" s="1"/>
  <c r="AE152" i="1"/>
  <c r="AE155" i="1"/>
  <c r="AE197" i="1"/>
  <c r="AD202" i="1"/>
  <c r="Y142" i="1"/>
  <c r="Y112" i="1"/>
  <c r="S184" i="1"/>
  <c r="AB22" i="1"/>
  <c r="S59" i="1"/>
  <c r="N183" i="1"/>
  <c r="N204" i="1" s="1"/>
  <c r="N38" i="1"/>
  <c r="N66" i="1"/>
  <c r="T51" i="1"/>
  <c r="S14" i="1"/>
  <c r="X139" i="1"/>
  <c r="X125" i="1"/>
  <c r="AE196" i="1"/>
  <c r="S202" i="1"/>
  <c r="AA100" i="1"/>
  <c r="R241" i="1"/>
  <c r="R246" i="1" s="1"/>
  <c r="S252" i="1" l="1"/>
  <c r="AB211" i="1"/>
  <c r="AB252" i="1" s="1"/>
  <c r="S217" i="1"/>
  <c r="O55" i="1"/>
  <c r="AA18" i="1"/>
  <c r="AA55" i="1" s="1"/>
  <c r="Q155" i="1"/>
  <c r="Q152" i="1"/>
  <c r="Q197" i="1"/>
  <c r="AA163" i="1"/>
  <c r="AD157" i="1"/>
  <c r="AD153" i="1"/>
  <c r="AD118" i="1"/>
  <c r="AD124" i="1" s="1"/>
  <c r="O56" i="1"/>
  <c r="AA19" i="1"/>
  <c r="AA56" i="1" s="1"/>
  <c r="V115" i="1"/>
  <c r="V60" i="1"/>
  <c r="V116" i="1"/>
  <c r="AE115" i="1"/>
  <c r="AE116" i="1"/>
  <c r="AE60" i="1"/>
  <c r="G142" i="1"/>
  <c r="X140" i="1"/>
  <c r="X142" i="1"/>
  <c r="AB184" i="1"/>
  <c r="S29" i="1"/>
  <c r="AB29" i="1" s="1"/>
  <c r="AB163" i="1"/>
  <c r="AC211" i="1"/>
  <c r="O196" i="1"/>
  <c r="AA196" i="1" s="1"/>
  <c r="P196" i="1"/>
  <c r="P217" i="1"/>
  <c r="P252" i="1"/>
  <c r="P116" i="1"/>
  <c r="P115" i="1"/>
  <c r="P60" i="1"/>
  <c r="Q198" i="1"/>
  <c r="Q156" i="1"/>
  <c r="T115" i="1"/>
  <c r="T116" i="1"/>
  <c r="T60" i="1"/>
  <c r="AB14" i="1"/>
  <c r="AB51" i="1" s="1"/>
  <c r="S26" i="1"/>
  <c r="S51" i="1"/>
  <c r="Z183" i="1"/>
  <c r="Z204" i="1" s="1"/>
  <c r="Z38" i="1"/>
  <c r="Z66" i="1"/>
  <c r="V252" i="1"/>
  <c r="V217" i="1"/>
  <c r="U115" i="1"/>
  <c r="U116" i="1"/>
  <c r="U60" i="1"/>
  <c r="AB152" i="1"/>
  <c r="AB155" i="1"/>
  <c r="AA20" i="1"/>
  <c r="AA57" i="1" s="1"/>
  <c r="O57" i="1"/>
  <c r="AA156" i="1"/>
  <c r="AE26" i="1"/>
  <c r="AE51" i="1"/>
  <c r="AA152" i="1"/>
  <c r="AA155" i="1"/>
  <c r="Q54" i="1"/>
  <c r="Q23" i="1"/>
  <c r="Q211" i="1"/>
  <c r="Q163" i="1"/>
  <c r="R211" i="1"/>
  <c r="G183" i="1"/>
  <c r="G204" i="1" s="1"/>
  <c r="G66" i="1"/>
  <c r="G38" i="1"/>
  <c r="L140" i="1"/>
  <c r="L142" i="1"/>
  <c r="S116" i="1"/>
  <c r="S115" i="1"/>
  <c r="S60" i="1"/>
  <c r="AB23" i="1"/>
  <c r="AB60" i="1" s="1"/>
  <c r="O211" i="1"/>
  <c r="O163" i="1"/>
  <c r="AA213" i="1"/>
  <c r="AA241" i="1" s="1"/>
  <c r="AA246" i="1" s="1"/>
  <c r="O241" i="1"/>
  <c r="AD51" i="1"/>
  <c r="AD26" i="1"/>
  <c r="T26" i="1"/>
  <c r="V26" i="1"/>
  <c r="O52" i="1"/>
  <c r="AA12" i="1"/>
  <c r="AA52" i="1" s="1"/>
  <c r="AA186" i="1"/>
  <c r="AA250" i="1" s="1"/>
  <c r="O250" i="1"/>
  <c r="O132" i="1"/>
  <c r="R197" i="1"/>
  <c r="AD200" i="1"/>
  <c r="AD158" i="1"/>
  <c r="X66" i="1"/>
  <c r="X183" i="1"/>
  <c r="X204" i="1" s="1"/>
  <c r="X38" i="1"/>
  <c r="H37" i="1"/>
  <c r="H34" i="1"/>
  <c r="H65" i="1"/>
  <c r="H64" i="1"/>
  <c r="U26" i="1"/>
  <c r="O184" i="1"/>
  <c r="AA22" i="1"/>
  <c r="O59" i="1"/>
  <c r="O14" i="1"/>
  <c r="P202" i="1"/>
  <c r="AA202" i="1" s="1"/>
  <c r="AB197" i="1"/>
  <c r="P51" i="1"/>
  <c r="P26" i="1"/>
  <c r="Y183" i="1"/>
  <c r="Y204" i="1" s="1"/>
  <c r="Y38" i="1"/>
  <c r="Y66" i="1"/>
  <c r="Q184" i="1"/>
  <c r="Q29" i="1" s="1"/>
  <c r="Q59" i="1"/>
  <c r="AB198" i="1"/>
  <c r="AC60" i="1"/>
  <c r="AC115" i="1"/>
  <c r="AC116" i="1"/>
  <c r="R62" i="1"/>
  <c r="R30" i="1"/>
  <c r="R63" i="1" s="1"/>
  <c r="R33" i="1"/>
  <c r="AA131" i="1"/>
  <c r="S131" i="1"/>
  <c r="O197" i="1"/>
  <c r="O155" i="1"/>
  <c r="O152" i="1"/>
  <c r="P197" i="1"/>
  <c r="O58" i="1"/>
  <c r="AA21" i="1"/>
  <c r="AA58" i="1" s="1"/>
  <c r="L65" i="1"/>
  <c r="L34" i="1"/>
  <c r="L64" i="1"/>
  <c r="L37" i="1"/>
  <c r="AB59" i="1"/>
  <c r="AE252" i="1"/>
  <c r="AE217" i="1"/>
  <c r="I183" i="1"/>
  <c r="I204" i="1" s="1"/>
  <c r="I66" i="1"/>
  <c r="I38" i="1"/>
  <c r="R196" i="1"/>
  <c r="N244" i="1"/>
  <c r="N242" i="1"/>
  <c r="N231" i="1"/>
  <c r="N205" i="1"/>
  <c r="N247" i="1"/>
  <c r="J183" i="1"/>
  <c r="J204" i="1" s="1"/>
  <c r="J66" i="1"/>
  <c r="J38" i="1"/>
  <c r="O198" i="1"/>
  <c r="O156" i="1"/>
  <c r="P198" i="1"/>
  <c r="Q14" i="1"/>
  <c r="N140" i="1"/>
  <c r="N142" i="1"/>
  <c r="AC51" i="1"/>
  <c r="AC26" i="1"/>
  <c r="AA49" i="1"/>
  <c r="AA71" i="1"/>
  <c r="AA69" i="1"/>
  <c r="AB202" i="1"/>
  <c r="R116" i="1"/>
  <c r="R115" i="1"/>
  <c r="R60" i="1"/>
  <c r="AD252" i="1"/>
  <c r="AD217" i="1"/>
  <c r="K64" i="1"/>
  <c r="K34" i="1"/>
  <c r="K65" i="1"/>
  <c r="K37" i="1"/>
  <c r="O23" i="1"/>
  <c r="AA17" i="1"/>
  <c r="AA54" i="1" s="1"/>
  <c r="O54" i="1"/>
  <c r="U217" i="1"/>
  <c r="U252" i="1"/>
  <c r="T252" i="1"/>
  <c r="T217" i="1"/>
  <c r="M66" i="1"/>
  <c r="M38" i="1"/>
  <c r="M183" i="1"/>
  <c r="M204" i="1" s="1"/>
  <c r="T200" i="1" l="1"/>
  <c r="T158" i="1"/>
  <c r="AE199" i="1"/>
  <c r="AE157" i="1"/>
  <c r="AE153" i="1"/>
  <c r="AE118" i="1"/>
  <c r="AE124" i="1" s="1"/>
  <c r="I247" i="1"/>
  <c r="I244" i="1"/>
  <c r="I242" i="1"/>
  <c r="I231" i="1"/>
  <c r="I205" i="1"/>
  <c r="Y244" i="1"/>
  <c r="Y205" i="1"/>
  <c r="Y242" i="1"/>
  <c r="Y231" i="1"/>
  <c r="Y247" i="1"/>
  <c r="U30" i="1"/>
  <c r="U63" i="1" s="1"/>
  <c r="U62" i="1"/>
  <c r="U33" i="1"/>
  <c r="O246" i="1"/>
  <c r="O107" i="1"/>
  <c r="T199" i="1"/>
  <c r="T157" i="1"/>
  <c r="T118" i="1"/>
  <c r="T124" i="1" s="1"/>
  <c r="T153" i="1"/>
  <c r="AC217" i="1"/>
  <c r="AC252" i="1"/>
  <c r="V158" i="1"/>
  <c r="V200" i="1"/>
  <c r="AB116" i="1"/>
  <c r="AB158" i="1" s="1"/>
  <c r="AC62" i="1"/>
  <c r="AC30" i="1"/>
  <c r="AC63" i="1" s="1"/>
  <c r="AC33" i="1"/>
  <c r="J247" i="1"/>
  <c r="J244" i="1"/>
  <c r="J242" i="1"/>
  <c r="J231" i="1"/>
  <c r="J205" i="1"/>
  <c r="AC158" i="1"/>
  <c r="P30" i="1"/>
  <c r="P63" i="1" s="1"/>
  <c r="P62" i="1"/>
  <c r="P33" i="1"/>
  <c r="P132" i="1"/>
  <c r="AE33" i="1"/>
  <c r="AE62" i="1"/>
  <c r="AE30" i="1"/>
  <c r="AE63" i="1" s="1"/>
  <c r="G242" i="1"/>
  <c r="G231" i="1"/>
  <c r="G205" i="1"/>
  <c r="G247" i="1"/>
  <c r="G244" i="1"/>
  <c r="V153" i="1"/>
  <c r="V199" i="1"/>
  <c r="V118" i="1"/>
  <c r="V157" i="1"/>
  <c r="AB115" i="1"/>
  <c r="O217" i="1"/>
  <c r="O252" i="1"/>
  <c r="AA211" i="1"/>
  <c r="AA252" i="1" s="1"/>
  <c r="R217" i="1"/>
  <c r="R252" i="1"/>
  <c r="N232" i="1"/>
  <c r="N235" i="1"/>
  <c r="AA197" i="1"/>
  <c r="H183" i="1"/>
  <c r="H204" i="1" s="1"/>
  <c r="H38" i="1"/>
  <c r="H66" i="1"/>
  <c r="Z205" i="1"/>
  <c r="Z242" i="1"/>
  <c r="Z231" i="1"/>
  <c r="Z247" i="1"/>
  <c r="Z244" i="1"/>
  <c r="P157" i="1"/>
  <c r="P153" i="1"/>
  <c r="P118" i="1"/>
  <c r="P124" i="1" s="1"/>
  <c r="AC157" i="1"/>
  <c r="AC153" i="1"/>
  <c r="AC118" i="1"/>
  <c r="AC124" i="1" s="1"/>
  <c r="R199" i="1"/>
  <c r="R153" i="1"/>
  <c r="R118" i="1"/>
  <c r="AA115" i="1"/>
  <c r="R157" i="1"/>
  <c r="Q51" i="1"/>
  <c r="Q26" i="1"/>
  <c r="N248" i="1"/>
  <c r="N245" i="1"/>
  <c r="L66" i="1"/>
  <c r="L183" i="1"/>
  <c r="L204" i="1" s="1"/>
  <c r="L38" i="1"/>
  <c r="T131" i="1"/>
  <c r="AA14" i="1"/>
  <c r="AA51" i="1" s="1"/>
  <c r="O51" i="1"/>
  <c r="O26" i="1"/>
  <c r="Q217" i="1"/>
  <c r="Q252" i="1"/>
  <c r="P158" i="1"/>
  <c r="R158" i="1"/>
  <c r="AA116" i="1"/>
  <c r="AA158" i="1" s="1"/>
  <c r="X244" i="1"/>
  <c r="X205" i="1"/>
  <c r="X242" i="1"/>
  <c r="X231" i="1"/>
  <c r="X247" i="1"/>
  <c r="V62" i="1"/>
  <c r="V33" i="1"/>
  <c r="V30" i="1"/>
  <c r="V63" i="1" s="1"/>
  <c r="S199" i="1"/>
  <c r="S153" i="1"/>
  <c r="S118" i="1"/>
  <c r="S124" i="1" s="1"/>
  <c r="S157" i="1"/>
  <c r="Q116" i="1"/>
  <c r="Q115" i="1"/>
  <c r="Q60" i="1"/>
  <c r="S62" i="1"/>
  <c r="S33" i="1"/>
  <c r="AB26" i="1"/>
  <c r="AB62" i="1" s="1"/>
  <c r="S30" i="1"/>
  <c r="AB217" i="1"/>
  <c r="O60" i="1"/>
  <c r="O116" i="1"/>
  <c r="O115" i="1"/>
  <c r="AA23" i="1"/>
  <c r="AA60" i="1" s="1"/>
  <c r="AA59" i="1"/>
  <c r="T62" i="1"/>
  <c r="T33" i="1"/>
  <c r="T30" i="1"/>
  <c r="T63" i="1" s="1"/>
  <c r="S200" i="1"/>
  <c r="S158" i="1"/>
  <c r="AD199" i="1"/>
  <c r="U199" i="1"/>
  <c r="U118" i="1"/>
  <c r="U124" i="1" s="1"/>
  <c r="U157" i="1"/>
  <c r="U153" i="1"/>
  <c r="M244" i="1"/>
  <c r="M242" i="1"/>
  <c r="M231" i="1"/>
  <c r="M205" i="1"/>
  <c r="M247" i="1"/>
  <c r="K183" i="1"/>
  <c r="K204" i="1" s="1"/>
  <c r="K38" i="1"/>
  <c r="K66" i="1"/>
  <c r="AA198" i="1"/>
  <c r="R36" i="1"/>
  <c r="R65" i="1" s="1"/>
  <c r="R64" i="1"/>
  <c r="R37" i="1"/>
  <c r="O29" i="1"/>
  <c r="AA29" i="1" s="1"/>
  <c r="AA184" i="1"/>
  <c r="AD62" i="1"/>
  <c r="AD30" i="1"/>
  <c r="AD63" i="1" s="1"/>
  <c r="AD33" i="1"/>
  <c r="U200" i="1"/>
  <c r="U158" i="1"/>
  <c r="AE200" i="1"/>
  <c r="AE158" i="1"/>
  <c r="O118" i="1" l="1"/>
  <c r="O124" i="1" s="1"/>
  <c r="O199" i="1"/>
  <c r="O153" i="1"/>
  <c r="O157" i="1"/>
  <c r="I235" i="1"/>
  <c r="I236" i="1" s="1"/>
  <c r="I232" i="1"/>
  <c r="K247" i="1"/>
  <c r="K244" i="1"/>
  <c r="K242" i="1"/>
  <c r="K231" i="1"/>
  <c r="K205" i="1"/>
  <c r="O200" i="1"/>
  <c r="O158" i="1"/>
  <c r="O62" i="1"/>
  <c r="O33" i="1"/>
  <c r="O30" i="1"/>
  <c r="AA26" i="1"/>
  <c r="AA62" i="1" s="1"/>
  <c r="Q30" i="1"/>
  <c r="Q63" i="1" s="1"/>
  <c r="Q62" i="1"/>
  <c r="Q33" i="1"/>
  <c r="AA217" i="1"/>
  <c r="G248" i="1"/>
  <c r="G245" i="1"/>
  <c r="AC200" i="1"/>
  <c r="U64" i="1"/>
  <c r="U36" i="1"/>
  <c r="U65" i="1" s="1"/>
  <c r="I245" i="1"/>
  <c r="I248" i="1"/>
  <c r="AB157" i="1"/>
  <c r="AB153" i="1"/>
  <c r="Q200" i="1"/>
  <c r="Q158" i="1"/>
  <c r="M232" i="1"/>
  <c r="M235" i="1"/>
  <c r="M236" i="1" s="1"/>
  <c r="S63" i="1"/>
  <c r="AB30" i="1"/>
  <c r="AB63" i="1" s="1"/>
  <c r="AB199" i="1"/>
  <c r="R200" i="1"/>
  <c r="AA157" i="1"/>
  <c r="AA153" i="1"/>
  <c r="P199" i="1"/>
  <c r="V124" i="1"/>
  <c r="AB118" i="1"/>
  <c r="AE64" i="1"/>
  <c r="AE36" i="1"/>
  <c r="AE65" i="1" s="1"/>
  <c r="J245" i="1"/>
  <c r="J248" i="1"/>
  <c r="X248" i="1"/>
  <c r="X245" i="1"/>
  <c r="G235" i="1"/>
  <c r="G236" i="1" s="1"/>
  <c r="G232" i="1"/>
  <c r="R66" i="1"/>
  <c r="R183" i="1"/>
  <c r="R42" i="1"/>
  <c r="R41" i="1"/>
  <c r="M248" i="1"/>
  <c r="M245" i="1"/>
  <c r="T64" i="1"/>
  <c r="T36" i="1"/>
  <c r="T65" i="1" s="1"/>
  <c r="T37" i="1"/>
  <c r="U131" i="1"/>
  <c r="R124" i="1"/>
  <c r="AA118" i="1"/>
  <c r="N236" i="1"/>
  <c r="O234" i="1"/>
  <c r="Q132" i="1"/>
  <c r="Y235" i="1"/>
  <c r="Y236" i="1" s="1"/>
  <c r="Y232" i="1"/>
  <c r="H242" i="1"/>
  <c r="H231" i="1"/>
  <c r="H247" i="1"/>
  <c r="H244" i="1"/>
  <c r="H205" i="1"/>
  <c r="S36" i="1"/>
  <c r="AB33" i="1"/>
  <c r="AB64" i="1" s="1"/>
  <c r="S64" i="1"/>
  <c r="V64" i="1"/>
  <c r="V36" i="1"/>
  <c r="V65" i="1" s="1"/>
  <c r="V37" i="1"/>
  <c r="Y248" i="1"/>
  <c r="Y245" i="1"/>
  <c r="AB200" i="1"/>
  <c r="L247" i="1"/>
  <c r="L244" i="1"/>
  <c r="L242" i="1"/>
  <c r="L231" i="1"/>
  <c r="L205" i="1"/>
  <c r="P64" i="1"/>
  <c r="P36" i="1"/>
  <c r="P65" i="1" s="1"/>
  <c r="P37" i="1"/>
  <c r="AC64" i="1"/>
  <c r="AC37" i="1"/>
  <c r="AC36" i="1"/>
  <c r="AC65" i="1" s="1"/>
  <c r="AD64" i="1"/>
  <c r="AD36" i="1"/>
  <c r="AD65" i="1" s="1"/>
  <c r="J235" i="1"/>
  <c r="J236" i="1" s="1"/>
  <c r="J232" i="1"/>
  <c r="P200" i="1"/>
  <c r="Z235" i="1"/>
  <c r="Z236" i="1" s="1"/>
  <c r="Z232" i="1"/>
  <c r="Q157" i="1"/>
  <c r="Q199" i="1"/>
  <c r="Q153" i="1"/>
  <c r="Q118" i="1"/>
  <c r="Q124" i="1" s="1"/>
  <c r="X235" i="1"/>
  <c r="X236" i="1" s="1"/>
  <c r="X232" i="1"/>
  <c r="AC199" i="1"/>
  <c r="Z248" i="1"/>
  <c r="Z245" i="1"/>
  <c r="P107" i="1"/>
  <c r="O160" i="1"/>
  <c r="O161" i="1"/>
  <c r="AA234" i="1" l="1"/>
  <c r="K248" i="1"/>
  <c r="K245" i="1"/>
  <c r="P183" i="1"/>
  <c r="P204" i="1" s="1"/>
  <c r="P66" i="1"/>
  <c r="P41" i="1"/>
  <c r="P42" i="1"/>
  <c r="V66" i="1"/>
  <c r="V42" i="1"/>
  <c r="V183" i="1"/>
  <c r="V204" i="1" s="1"/>
  <c r="V41" i="1"/>
  <c r="H235" i="1"/>
  <c r="H236" i="1" s="1"/>
  <c r="H232" i="1"/>
  <c r="AA124" i="1"/>
  <c r="R204" i="1"/>
  <c r="AE37" i="1"/>
  <c r="U37" i="1"/>
  <c r="O63" i="1"/>
  <c r="AA30" i="1"/>
  <c r="AA63" i="1" s="1"/>
  <c r="K232" i="1"/>
  <c r="K235" i="1"/>
  <c r="K236" i="1" s="1"/>
  <c r="H248" i="1"/>
  <c r="H245" i="1"/>
  <c r="V131" i="1"/>
  <c r="O64" i="1"/>
  <c r="O36" i="1"/>
  <c r="AA33" i="1"/>
  <c r="AA64" i="1" s="1"/>
  <c r="AC183" i="1"/>
  <c r="AC204" i="1" s="1"/>
  <c r="AC66" i="1"/>
  <c r="AC42" i="1"/>
  <c r="AC41" i="1"/>
  <c r="Q64" i="1"/>
  <c r="Q36" i="1"/>
  <c r="Q65" i="1" s="1"/>
  <c r="L232" i="1"/>
  <c r="L235" i="1"/>
  <c r="L236" i="1" s="1"/>
  <c r="S65" i="1"/>
  <c r="AB36" i="1"/>
  <c r="AB65" i="1" s="1"/>
  <c r="AD37" i="1"/>
  <c r="L248" i="1"/>
  <c r="L245" i="1"/>
  <c r="T183" i="1"/>
  <c r="T204" i="1" s="1"/>
  <c r="T41" i="1"/>
  <c r="T42" i="1"/>
  <c r="T66" i="1"/>
  <c r="AB124" i="1"/>
  <c r="R132" i="1"/>
  <c r="P160" i="1"/>
  <c r="Q107" i="1"/>
  <c r="P161" i="1"/>
  <c r="AA200" i="1"/>
  <c r="AA199" i="1"/>
  <c r="S37" i="1"/>
  <c r="AE183" i="1" l="1"/>
  <c r="AE204" i="1" s="1"/>
  <c r="AE42" i="1"/>
  <c r="AE66" i="1"/>
  <c r="AE41" i="1"/>
  <c r="U183" i="1"/>
  <c r="U204" i="1" s="1"/>
  <c r="U42" i="1"/>
  <c r="U66" i="1"/>
  <c r="U41" i="1"/>
  <c r="R242" i="1"/>
  <c r="R231" i="1"/>
  <c r="R247" i="1"/>
  <c r="R244" i="1"/>
  <c r="Q160" i="1"/>
  <c r="R107" i="1"/>
  <c r="Q161" i="1"/>
  <c r="T247" i="1"/>
  <c r="T244" i="1"/>
  <c r="T242" i="1"/>
  <c r="T231" i="1"/>
  <c r="P242" i="1"/>
  <c r="P231" i="1"/>
  <c r="P247" i="1"/>
  <c r="P244" i="1"/>
  <c r="O65" i="1"/>
  <c r="AA36" i="1"/>
  <c r="AA65" i="1" s="1"/>
  <c r="AB131" i="1"/>
  <c r="AC131" i="1" s="1"/>
  <c r="AD183" i="1"/>
  <c r="AD204" i="1" s="1"/>
  <c r="AD66" i="1"/>
  <c r="AD41" i="1"/>
  <c r="AD42" i="1"/>
  <c r="S66" i="1"/>
  <c r="AB37" i="1"/>
  <c r="S183" i="1"/>
  <c r="S42" i="1"/>
  <c r="S41" i="1"/>
  <c r="AA132" i="1"/>
  <c r="S132" i="1"/>
  <c r="AC242" i="1"/>
  <c r="AC231" i="1"/>
  <c r="AC247" i="1"/>
  <c r="AC244" i="1"/>
  <c r="V247" i="1"/>
  <c r="V244" i="1"/>
  <c r="V242" i="1"/>
  <c r="V231" i="1"/>
  <c r="Q37" i="1"/>
  <c r="O37" i="1"/>
  <c r="O183" i="1" l="1"/>
  <c r="O41" i="1"/>
  <c r="AA37" i="1"/>
  <c r="O66" i="1"/>
  <c r="O134" i="1"/>
  <c r="O42" i="1"/>
  <c r="R248" i="1"/>
  <c r="R245" i="1"/>
  <c r="V248" i="1"/>
  <c r="V245" i="1"/>
  <c r="AC248" i="1"/>
  <c r="AC245" i="1"/>
  <c r="AD247" i="1"/>
  <c r="AD244" i="1"/>
  <c r="AD242" i="1"/>
  <c r="AD231" i="1"/>
  <c r="U247" i="1"/>
  <c r="U244" i="1"/>
  <c r="U242" i="1"/>
  <c r="U231" i="1"/>
  <c r="T132" i="1"/>
  <c r="AD131" i="1"/>
  <c r="AB183" i="1"/>
  <c r="S204" i="1"/>
  <c r="R160" i="1"/>
  <c r="S107" i="1"/>
  <c r="AA107" i="1"/>
  <c r="R161" i="1"/>
  <c r="Q183" i="1"/>
  <c r="Q204" i="1" s="1"/>
  <c r="Q42" i="1"/>
  <c r="Q66" i="1"/>
  <c r="Q41" i="1"/>
  <c r="AB66" i="1"/>
  <c r="AB42" i="1"/>
  <c r="AB41" i="1"/>
  <c r="P248" i="1"/>
  <c r="P245" i="1"/>
  <c r="T245" i="1"/>
  <c r="T248" i="1"/>
  <c r="AE247" i="1"/>
  <c r="AE244" i="1"/>
  <c r="AE242" i="1"/>
  <c r="AE231" i="1"/>
  <c r="U248" i="1" l="1"/>
  <c r="U245" i="1"/>
  <c r="S247" i="1"/>
  <c r="S244" i="1"/>
  <c r="AB204" i="1"/>
  <c r="S242" i="1"/>
  <c r="S231" i="1"/>
  <c r="AB231" i="1" s="1"/>
  <c r="AD245" i="1"/>
  <c r="AD248" i="1"/>
  <c r="P134" i="1"/>
  <c r="O136" i="1"/>
  <c r="O139" i="1" s="1"/>
  <c r="AE245" i="1"/>
  <c r="AE248" i="1"/>
  <c r="AE131" i="1"/>
  <c r="AA66" i="1"/>
  <c r="AA42" i="1"/>
  <c r="AA41" i="1"/>
  <c r="AA160" i="1"/>
  <c r="AA161" i="1"/>
  <c r="S160" i="1"/>
  <c r="T107" i="1"/>
  <c r="S161" i="1"/>
  <c r="Q242" i="1"/>
  <c r="Q231" i="1"/>
  <c r="Q247" i="1"/>
  <c r="Q244" i="1"/>
  <c r="U132" i="1"/>
  <c r="AA183" i="1"/>
  <c r="O204" i="1"/>
  <c r="V132" i="1" l="1"/>
  <c r="S245" i="1"/>
  <c r="S248" i="1"/>
  <c r="AB242" i="1"/>
  <c r="AB247" i="1"/>
  <c r="AB244" i="1"/>
  <c r="Q248" i="1"/>
  <c r="Q245" i="1"/>
  <c r="T160" i="1"/>
  <c r="U107" i="1"/>
  <c r="T161" i="1"/>
  <c r="Q134" i="1"/>
  <c r="P136" i="1"/>
  <c r="P139" i="1" s="1"/>
  <c r="O242" i="1"/>
  <c r="O231" i="1"/>
  <c r="O247" i="1"/>
  <c r="O244" i="1"/>
  <c r="AA204" i="1"/>
  <c r="O248" i="1" l="1"/>
  <c r="O245" i="1"/>
  <c r="AB248" i="1"/>
  <c r="AB245" i="1"/>
  <c r="AA231" i="1"/>
  <c r="O97" i="1"/>
  <c r="O235" i="1"/>
  <c r="R134" i="1"/>
  <c r="Q136" i="1"/>
  <c r="Q139" i="1" s="1"/>
  <c r="AA242" i="1"/>
  <c r="AA247" i="1"/>
  <c r="AA244" i="1"/>
  <c r="U160" i="1"/>
  <c r="V107" i="1"/>
  <c r="U161" i="1"/>
  <c r="AB132" i="1"/>
  <c r="AC132" i="1" s="1"/>
  <c r="AD132" i="1" l="1"/>
  <c r="P97" i="1"/>
  <c r="O148" i="1"/>
  <c r="O104" i="1"/>
  <c r="V160" i="1"/>
  <c r="AB107" i="1"/>
  <c r="V161" i="1"/>
  <c r="O236" i="1"/>
  <c r="P234" i="1"/>
  <c r="P235" i="1" s="1"/>
  <c r="AA248" i="1"/>
  <c r="AA245" i="1"/>
  <c r="AA134" i="1"/>
  <c r="S134" i="1"/>
  <c r="R136" i="1"/>
  <c r="O147" i="1" l="1"/>
  <c r="O150" i="1"/>
  <c r="O111" i="1"/>
  <c r="O142" i="1" s="1"/>
  <c r="T134" i="1"/>
  <c r="S136" i="1"/>
  <c r="S139" i="1" s="1"/>
  <c r="P236" i="1"/>
  <c r="Q234" i="1"/>
  <c r="Q235" i="1" s="1"/>
  <c r="AA136" i="1"/>
  <c r="R139" i="1"/>
  <c r="AA139" i="1" s="1"/>
  <c r="AC107" i="1"/>
  <c r="AB160" i="1"/>
  <c r="AB161" i="1"/>
  <c r="Q97" i="1"/>
  <c r="P148" i="1"/>
  <c r="P104" i="1"/>
  <c r="AE132" i="1"/>
  <c r="P147" i="1" l="1"/>
  <c r="P150" i="1"/>
  <c r="P111" i="1"/>
  <c r="P142" i="1" s="1"/>
  <c r="U134" i="1"/>
  <c r="T136" i="1"/>
  <c r="T139" i="1" s="1"/>
  <c r="Q148" i="1"/>
  <c r="Q104" i="1"/>
  <c r="R97" i="1"/>
  <c r="AC160" i="1"/>
  <c r="AD107" i="1"/>
  <c r="AC161" i="1"/>
  <c r="R234" i="1"/>
  <c r="R235" i="1" s="1"/>
  <c r="Q236" i="1"/>
  <c r="Q147" i="1" l="1"/>
  <c r="Q150" i="1"/>
  <c r="Q111" i="1"/>
  <c r="Q142" i="1" s="1"/>
  <c r="AA97" i="1"/>
  <c r="AA148" i="1" s="1"/>
  <c r="R148" i="1"/>
  <c r="R104" i="1"/>
  <c r="S97" i="1"/>
  <c r="S234" i="1"/>
  <c r="AA235" i="1"/>
  <c r="AA236" i="1" s="1"/>
  <c r="R236" i="1"/>
  <c r="V134" i="1"/>
  <c r="U136" i="1"/>
  <c r="U139" i="1" s="1"/>
  <c r="AD160" i="1"/>
  <c r="AE107" i="1"/>
  <c r="AD161" i="1"/>
  <c r="S235" i="1" l="1"/>
  <c r="AB234" i="1"/>
  <c r="S148" i="1"/>
  <c r="S104" i="1"/>
  <c r="T97" i="1"/>
  <c r="R147" i="1"/>
  <c r="R111" i="1"/>
  <c r="R150" i="1"/>
  <c r="AA104" i="1"/>
  <c r="AE160" i="1"/>
  <c r="AE161" i="1"/>
  <c r="AB134" i="1"/>
  <c r="AC134" i="1" s="1"/>
  <c r="V136" i="1"/>
  <c r="AA150" i="1" l="1"/>
  <c r="AA147" i="1"/>
  <c r="R142" i="1"/>
  <c r="AA142" i="1" s="1"/>
  <c r="AA111" i="1"/>
  <c r="U97" i="1"/>
  <c r="T148" i="1"/>
  <c r="T104" i="1"/>
  <c r="AB136" i="1"/>
  <c r="V139" i="1"/>
  <c r="AB139" i="1" s="1"/>
  <c r="AD134" i="1"/>
  <c r="AC136" i="1"/>
  <c r="AC139" i="1" s="1"/>
  <c r="S111" i="1"/>
  <c r="S142" i="1" s="1"/>
  <c r="S150" i="1"/>
  <c r="S147" i="1"/>
  <c r="T234" i="1"/>
  <c r="T235" i="1" s="1"/>
  <c r="S236" i="1"/>
  <c r="AE134" i="1" l="1"/>
  <c r="AE136" i="1" s="1"/>
  <c r="AE139" i="1" s="1"/>
  <c r="AD136" i="1"/>
  <c r="AD139" i="1" s="1"/>
  <c r="U234" i="1"/>
  <c r="U235" i="1" s="1"/>
  <c r="T236" i="1"/>
  <c r="T150" i="1"/>
  <c r="T147" i="1"/>
  <c r="T111" i="1"/>
  <c r="T142" i="1" s="1"/>
  <c r="V97" i="1"/>
  <c r="U148" i="1"/>
  <c r="U104" i="1"/>
  <c r="U150" i="1" l="1"/>
  <c r="U111" i="1"/>
  <c r="U142" i="1" s="1"/>
  <c r="U147" i="1"/>
  <c r="V148" i="1"/>
  <c r="V104" i="1"/>
  <c r="AB97" i="1"/>
  <c r="U236" i="1"/>
  <c r="V234" i="1"/>
  <c r="V235" i="1" s="1"/>
  <c r="AB235" i="1" l="1"/>
  <c r="V236" i="1"/>
  <c r="AC97" i="1"/>
  <c r="AB148" i="1"/>
  <c r="V111" i="1"/>
  <c r="V147" i="1"/>
  <c r="AB104" i="1"/>
  <c r="V150" i="1"/>
  <c r="V142" i="1" l="1"/>
  <c r="AB142" i="1" s="1"/>
  <c r="AB111" i="1"/>
  <c r="AB150" i="1"/>
  <c r="AB147" i="1"/>
  <c r="AD97" i="1"/>
  <c r="AC104" i="1"/>
  <c r="AC148" i="1"/>
  <c r="AC234" i="1"/>
  <c r="AC235" i="1" s="1"/>
  <c r="AB236" i="1"/>
  <c r="AD234" i="1" l="1"/>
  <c r="AD235" i="1" s="1"/>
  <c r="AC236" i="1"/>
  <c r="AD104" i="1"/>
  <c r="AD148" i="1"/>
  <c r="AE97" i="1"/>
  <c r="AC147" i="1"/>
  <c r="AC111" i="1"/>
  <c r="AC142" i="1" s="1"/>
  <c r="AC150" i="1"/>
  <c r="AE104" i="1" l="1"/>
  <c r="AE148" i="1"/>
  <c r="AD111" i="1"/>
  <c r="AD142" i="1" s="1"/>
  <c r="AD150" i="1"/>
  <c r="AD147" i="1"/>
  <c r="AE234" i="1"/>
  <c r="AE235" i="1" s="1"/>
  <c r="AE236" i="1" s="1"/>
  <c r="AD236" i="1"/>
  <c r="AE150" i="1" l="1"/>
  <c r="AE147" i="1"/>
  <c r="AE111" i="1"/>
  <c r="AE142" i="1" s="1"/>
</calcChain>
</file>

<file path=xl/sharedStrings.xml><?xml version="1.0" encoding="utf-8"?>
<sst xmlns="http://schemas.openxmlformats.org/spreadsheetml/2006/main" count="251" uniqueCount="209">
  <si>
    <t>Historical Quarters</t>
  </si>
  <si>
    <t>Projected Quarters</t>
  </si>
  <si>
    <t>Historical Annuals</t>
  </si>
  <si>
    <t>Projected Annuals</t>
  </si>
  <si>
    <t>CAGR</t>
  </si>
  <si>
    <t>Step</t>
  </si>
  <si>
    <t>1Q24</t>
  </si>
  <si>
    <t>2Q24</t>
  </si>
  <si>
    <t>3Q24</t>
  </si>
  <si>
    <t>4Q24</t>
  </si>
  <si>
    <t>1Q25</t>
  </si>
  <si>
    <t>2Q25</t>
  </si>
  <si>
    <t>3Q25</t>
  </si>
  <si>
    <t>4Q25</t>
  </si>
  <si>
    <t>1Q26</t>
  </si>
  <si>
    <t>2Q26</t>
  </si>
  <si>
    <t>3Q26E</t>
  </si>
  <si>
    <t>4Q26E</t>
  </si>
  <si>
    <t>1Q27E</t>
  </si>
  <si>
    <t>2Q27E</t>
  </si>
  <si>
    <t>3Q27E</t>
  </si>
  <si>
    <t>4Q27E</t>
  </si>
  <si>
    <t>2026E</t>
  </si>
  <si>
    <t>2027E</t>
  </si>
  <si>
    <t>2028E</t>
  </si>
  <si>
    <t>2029E</t>
  </si>
  <si>
    <t>2030E</t>
  </si>
  <si>
    <t>Income Statement</t>
  </si>
  <si>
    <t>Source: 10-K FY25 + S-1 (Q1 24/25) + 8-Ks (Q2/Q3/Q4 24+25). Sign convention: 'Less:' (expenses NEGATIVE).</t>
  </si>
  <si>
    <t>x</t>
  </si>
  <si>
    <t>Revenue</t>
  </si>
  <si>
    <t>Less: Cost of Revenue</t>
  </si>
  <si>
    <t>Gross Profit</t>
  </si>
  <si>
    <t>Reconciliation: variance vs. as-reported</t>
  </si>
  <si>
    <t>Less: Transaction &amp; Risk Losses</t>
  </si>
  <si>
    <t>Less: Member Support &amp; Operations</t>
  </si>
  <si>
    <t>Less: Sales &amp; Marketing</t>
  </si>
  <si>
    <t>Less: Technology &amp; Development</t>
  </si>
  <si>
    <t>Less: General &amp; Administrative</t>
  </si>
  <si>
    <t>Less: Depreciation &amp; Amortization</t>
  </si>
  <si>
    <t>Total Operating Expenses</t>
  </si>
  <si>
    <t>Operating Income (Loss)</t>
  </si>
  <si>
    <t>Memo: D&amp;A from CF (positive)</t>
  </si>
  <si>
    <t>EBITDA</t>
  </si>
  <si>
    <t>Other Income, Net</t>
  </si>
  <si>
    <t>Income (Loss) Before Income Taxes</t>
  </si>
  <si>
    <t>Less: Provision for Income Taxes</t>
  </si>
  <si>
    <t>Net Income (Loss)</t>
  </si>
  <si>
    <t>EPS, Basic</t>
  </si>
  <si>
    <t>EPS, Diluted</t>
  </si>
  <si>
    <t>Weighted Avg Shares — Basic (M)</t>
  </si>
  <si>
    <t>Weighted Avg Shares — Diluted (M)</t>
  </si>
  <si>
    <t>Ratios &amp; Assumptions</t>
  </si>
  <si>
    <t>YoY Revenue Growth</t>
  </si>
  <si>
    <t>Gross Margin</t>
  </si>
  <si>
    <t>Cost of Revenue (% of Revenue)</t>
  </si>
  <si>
    <t>Transaction &amp; Risk Losses (% of Revenue) [DRIVER]</t>
  </si>
  <si>
    <t>Member Support &amp; Ops (% of Revenue) [DRIVER]</t>
  </si>
  <si>
    <t>Sales &amp; Marketing (% of Revenue) [DRIVER]</t>
  </si>
  <si>
    <t>Technology &amp; Development (% of Revenue) [DRIVER]</t>
  </si>
  <si>
    <t>G&amp;A (% of Revenue) [DRIVER]</t>
  </si>
  <si>
    <t>D&amp;A on IS (% of Revenue)</t>
  </si>
  <si>
    <t>Total OpEx (% of Revenue)</t>
  </si>
  <si>
    <t>Operating Margin</t>
  </si>
  <si>
    <t>EBITDA Margin</t>
  </si>
  <si>
    <t>Pretax Margin</t>
  </si>
  <si>
    <t>Effective Tax Rate [DRIVER]</t>
  </si>
  <si>
    <t>Net Margin</t>
  </si>
  <si>
    <t>Transaction Profit ($M, non-GAAP)</t>
  </si>
  <si>
    <t>Transaction Margin (Tx Profit / Rev)</t>
  </si>
  <si>
    <t>Adj EBITDA ($M, non-GAAP)</t>
  </si>
  <si>
    <t>Adj EBITDA Margin</t>
  </si>
  <si>
    <t>KPI Drivers</t>
  </si>
  <si>
    <t>Active Members (millions, period-end)</t>
  </si>
  <si>
    <t>YoY growth</t>
  </si>
  <si>
    <t>PV per Active Member ($/Q)</t>
  </si>
  <si>
    <t>Purchase Volume ($B)  [hist=as-filed; proj=Members × PV/M / 1000]</t>
  </si>
  <si>
    <t>Take Rate (Total Rev / Purchase Volume)</t>
  </si>
  <si>
    <t>Revenue ($M)  [memo: derived = PV × Take Rate × 1000; IS Row 10 references this]</t>
  </si>
  <si>
    <t>ARPAM (T4Q $)  [derived: Revenue × 4 / avg(prior_M, current_M)]</t>
  </si>
  <si>
    <t>MyPay Annualized Run-Rate ($M)  [INPUT — informational; future: drive Platform rev breakout]</t>
  </si>
  <si>
    <t>Balance Sheet</t>
  </si>
  <si>
    <t>Source: 10-K FY25 (Dec 31 2025/2024 BS) + S-1 (Q1 25 BS) + 8-Ks (Q2/Q3 25 BS). Q1-Q4 24 BS NOT FILED (CHYM was private); columns G..J blank — expected.</t>
  </si>
  <si>
    <t>Cash and Cash Equivalents</t>
  </si>
  <si>
    <t>Restricted Cash</t>
  </si>
  <si>
    <t>Marketable Securities</t>
  </si>
  <si>
    <t>Product Collateral</t>
  </si>
  <si>
    <t>Accounts Receivable, net</t>
  </si>
  <si>
    <t>Loans Held for Investment, net</t>
  </si>
  <si>
    <t>Prepaid Expenses &amp; Other Current Assets</t>
  </si>
  <si>
    <t>Total Current Assets</t>
  </si>
  <si>
    <t>Property, Equipment &amp; Software, net</t>
  </si>
  <si>
    <t>Operating Lease ROU Assets, net</t>
  </si>
  <si>
    <t>Other Assets</t>
  </si>
  <si>
    <t>Total Assets</t>
  </si>
  <si>
    <t>Accounts Payable</t>
  </si>
  <si>
    <t>Accrued and Other Current Liabilities</t>
  </si>
  <si>
    <t>Product Obligation (SpotMe/MyPay liability)</t>
  </si>
  <si>
    <t>Total Current Liabilities</t>
  </si>
  <si>
    <t>Operating Lease Liabilities, NC</t>
  </si>
  <si>
    <t>Other Non-Current Liabilities</t>
  </si>
  <si>
    <t>Total Liabilities</t>
  </si>
  <si>
    <t>Redeemable Convertible Preferred Stock (Mezzanine)</t>
  </si>
  <si>
    <t>Common Stock</t>
  </si>
  <si>
    <t>Additional Paid-In Capital</t>
  </si>
  <si>
    <t>Accumulated Other Comprehensive Income</t>
  </si>
  <si>
    <t>Accumulated Deficit</t>
  </si>
  <si>
    <t>Total Stockholders' Equity (Deficit)</t>
  </si>
  <si>
    <t>Total Liabilities, Mezzanine + Equity</t>
  </si>
  <si>
    <t>★ PARITY (TA - TLE; must = 0)</t>
  </si>
  <si>
    <t>Balance Sheet Ratios &amp; Assumptions</t>
  </si>
  <si>
    <t>Current Ratio (TCA / TCL)</t>
  </si>
  <si>
    <t>Quick Ratio ((Cash + AR) / TCL)</t>
  </si>
  <si>
    <t>Net Working Capital (TCA - TCL)</t>
  </si>
  <si>
    <t>DSO — Days Sales Outstanding (AR / Rev × period days)</t>
  </si>
  <si>
    <t>DPO — Days Payable (AP / |OpEx| × period days)</t>
  </si>
  <si>
    <t>AR (% of Q rev) [DRIVER]</t>
  </si>
  <si>
    <t>Prepaid+Other CA (% of Revenue) [DRIVER]</t>
  </si>
  <si>
    <t>AP (% of |OpEx|) [DRIVER]</t>
  </si>
  <si>
    <t>Accrued+Other CL (% of |OpEx|) [DRIVER]</t>
  </si>
  <si>
    <t>PPE (% of Revenue)</t>
  </si>
  <si>
    <t>D&amp;A (% of PPE — depreciation rate)</t>
  </si>
  <si>
    <t>Loans Held for Investment (% of Revenue) — MyPay/Instant Loans funding</t>
  </si>
  <si>
    <t>BS Forecast Driver Ratios</t>
  </si>
  <si>
    <t>AR (% of Q rev — drives AR projection)</t>
  </si>
  <si>
    <t>Prepaid+Other CA (% of rev)</t>
  </si>
  <si>
    <t>Loans Held Inv (% of rev — MyPay funding)</t>
  </si>
  <si>
    <t>Product Collateral (% of rev)</t>
  </si>
  <si>
    <t>PPE (% of rev)</t>
  </si>
  <si>
    <t>AP (% of |OpEx|)</t>
  </si>
  <si>
    <t>Accrued+Other CL (% of |OpEx|)</t>
  </si>
  <si>
    <t>Product Obligation (% of rev)</t>
  </si>
  <si>
    <t>SBC (% of rev) [drives CF + APIC roll]</t>
  </si>
  <si>
    <t>Capex (% of rev) [drives CFI + PPE roll]</t>
  </si>
  <si>
    <t>Cash Flow Statement</t>
  </si>
  <si>
    <t>Source: 10-K FY25 + S-1 (Q1 24/25 CF) + 8-Ks YTD CF. Standalone Q derived: Q2=H1−Q1; Q3=9M−H1; Q4=FY−9M.</t>
  </si>
  <si>
    <t>Net Income (Loss) [link to IS]</t>
  </si>
  <si>
    <t>Depreciation &amp; Amortization (CF total)</t>
  </si>
  <si>
    <t>Non-Cash Lease Expense</t>
  </si>
  <si>
    <t>Stock-Based Compensation [KEY DRIVER]</t>
  </si>
  <si>
    <t>SBC — Charitable Contribution (one-time Q2 25)</t>
  </si>
  <si>
    <t>Provision for Transaction Dispute Losses</t>
  </si>
  <si>
    <t>Change in FV of Product Obligation</t>
  </si>
  <si>
    <t>Provision for Credit Losses</t>
  </si>
  <si>
    <t>Impairment</t>
  </si>
  <si>
    <t>Amortization of Premium on Marketable Securities</t>
  </si>
  <si>
    <t>Other Non-Cash</t>
  </si>
  <si>
    <t>Δ Product Collateral</t>
  </si>
  <si>
    <t>Δ Accounts Receivable</t>
  </si>
  <si>
    <t>Δ Prepaid &amp; Other Assets</t>
  </si>
  <si>
    <t>Δ Accounts Payable</t>
  </si>
  <si>
    <t>Δ Accrued &amp; Other Liabilities</t>
  </si>
  <si>
    <t>Δ Operating Lease Liabilities</t>
  </si>
  <si>
    <t>Settlements of the Product Obligation</t>
  </si>
  <si>
    <t>Cash Flow from Operating Activities</t>
  </si>
  <si>
    <t>Purchase of Marketable Securities</t>
  </si>
  <si>
    <t>Proceeds from Sales of Marketable Securities</t>
  </si>
  <si>
    <t>Proceeds from Maturities of Marketable Securities</t>
  </si>
  <si>
    <t>Purchase of Loans Held for Investment</t>
  </si>
  <si>
    <t>Repayments of Loans Held for Investment</t>
  </si>
  <si>
    <t>Purchase of PPE &amp; Software (Capex)</t>
  </si>
  <si>
    <t>Capitalization of Internal-Use Software</t>
  </si>
  <si>
    <t>Acquisition of Business, net of cash</t>
  </si>
  <si>
    <t>Cash Flow from Investing Activities</t>
  </si>
  <si>
    <t>Debt Issuance Costs</t>
  </si>
  <si>
    <t>Proceeds from IPO, net of costs</t>
  </si>
  <si>
    <t>Taxes Paid for Net Share Settlement of RSUs</t>
  </si>
  <si>
    <t>Proceeds from Exercise of Stock Options</t>
  </si>
  <si>
    <t>Repurchases of Common Stock</t>
  </si>
  <si>
    <t>Cash Flow from Financing Activities</t>
  </si>
  <si>
    <t>Net Change in Cash &amp; Equivalents</t>
  </si>
  <si>
    <t>Cash, Beginning of Period</t>
  </si>
  <si>
    <t>Cash, End of Period</t>
  </si>
  <si>
    <t>Tie-out: Cash End vs BS (Cash + Restricted) (must = 0)</t>
  </si>
  <si>
    <t>Cash Flow Ratios &amp; Assumptions</t>
  </si>
  <si>
    <t>Total Capex (PPE + Internal SW)</t>
  </si>
  <si>
    <t>Free Cash Flow (CFO + Capex)</t>
  </si>
  <si>
    <t>CFO Margin (CFO / Rev)</t>
  </si>
  <si>
    <t>FCF Margin</t>
  </si>
  <si>
    <t>Capex (% of Revenue) [DRIVER]</t>
  </si>
  <si>
    <t>CFO / Net Income (cash conversion)</t>
  </si>
  <si>
    <t>FCF / Net Income</t>
  </si>
  <si>
    <t>SBC (% of Revenue) [KEY DRIVER]</t>
  </si>
  <si>
    <t>Loans Held for Investment — Net Investing ($M)</t>
  </si>
  <si>
    <t>As-Reported Subtotals (source-of-truth for reconciliation)</t>
  </si>
  <si>
    <t>Hardcoded blue from filings; financials reconciliation rows pull from here</t>
  </si>
  <si>
    <t>Gross Profit (filed)</t>
  </si>
  <si>
    <t>Total OpEx (filed, NEG)</t>
  </si>
  <si>
    <t>Operating Income (filed)</t>
  </si>
  <si>
    <t>Pretax (filed)</t>
  </si>
  <si>
    <t>Net Loss (filed)</t>
  </si>
  <si>
    <t>Total Current Assets (filed)</t>
  </si>
  <si>
    <t>Total Assets (filed)</t>
  </si>
  <si>
    <t>Total Current Liabilities (filed)</t>
  </si>
  <si>
    <t>Total Liabilities (filed)</t>
  </si>
  <si>
    <t>Total Stockholders' Equity (filed)</t>
  </si>
  <si>
    <t>Total L&amp;E (filed)</t>
  </si>
  <si>
    <t>CFO (filed)</t>
  </si>
  <si>
    <t>CFI (filed)</t>
  </si>
  <si>
    <t>CFF (filed)</t>
  </si>
  <si>
    <t>Net change in cash (filed)</t>
  </si>
  <si>
    <t>Company Name</t>
  </si>
  <si>
    <t>Chime Financial, Inc.</t>
  </si>
  <si>
    <t>Sub-header</t>
  </si>
  <si>
    <t>Dollars in millions, except per share</t>
  </si>
  <si>
    <t>Last Fiscal Year End</t>
  </si>
  <si>
    <t>Today</t>
  </si>
  <si>
    <t>Minimum Cash %</t>
  </si>
  <si>
    <t>By Aardvark Labs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</si>
</sst>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7" formatCode="&quot;$&quot;#,##0.00_);\(&quot;$&quot;#,##0.00\)"/>
    <numFmt numFmtId="164" formatCode="#,##0.0%_);\(#,##0.0%\)"/>
    <numFmt numFmtId="165" formatCode="&quot;$&quot;#,##0.0_);\(&quot;$&quot;#,##0.0\)"/>
    <numFmt numFmtId="166" formatCode="#,##0.000_);\(#,##0.000\)"/>
    <numFmt numFmtId="167" formatCode="#,##0.0_);\(#,##0.0\)"/>
    <numFmt numFmtId="168" formatCode="0.00&quot;x&quot;"/>
    <numFmt numFmtId="169" formatCode="0.0&quot; days&quot;"/>
    <numFmt numFmtId="170" formatCode="0.00&quot; M&quot;"/>
    <numFmt numFmtId="171" formatCode="&quot;$&quot;#,##0"/>
    <numFmt numFmtId="172" formatCode="&quot;$&quot;#,##0.0&quot; B&quot;"/>
    <numFmt numFmtId="173" formatCode="&quot;$&quot;#,##0&quot; M&quot;"/>
  </numFmts>
  <fonts count="15" x14ac:knownFonts="1">
    <font>
      <sz val="11"/>
      <color theme="1"/>
      <name val="Calibri"/>
      <family val="2"/>
      <scheme val="minor"/>
    </font>
    <font>
      <sz val="7"/>
      <color rgb="FFFF0000"/>
      <name val="Arial"/>
      <family val="2"/>
    </font>
    <font>
      <b/>
      <sz val="10"/>
      <color rgb="FF000000"/>
      <name val="Arial"/>
      <family val="2"/>
    </font>
    <font>
      <sz val="10"/>
      <color rgb="FF3366FF"/>
      <name val="Arial"/>
      <family val="2"/>
    </font>
    <font>
      <b/>
      <sz val="12"/>
      <color rgb="FF000000"/>
      <name val="Arial"/>
      <family val="2"/>
    </font>
    <font>
      <i/>
      <sz val="10"/>
      <color rgb="FF808080"/>
      <name val="Arial"/>
      <family val="2"/>
    </font>
    <font>
      <b/>
      <sz val="14"/>
      <color rgb="FF000000"/>
      <name val="Arial"/>
      <family val="2"/>
    </font>
    <font>
      <i/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FFFFFF"/>
      <name val="Arial"/>
      <family val="2"/>
    </font>
    <font>
      <b/>
      <sz val="12"/>
      <color rgb="FFFFFFFF"/>
      <name val="Arial"/>
      <family val="2"/>
    </font>
    <font>
      <sz val="10"/>
      <color rgb="FF00AA00"/>
      <name val="Arial"/>
      <family val="2"/>
    </font>
    <font>
      <b/>
      <sz val="10"/>
      <color rgb="FFFF0000"/>
      <name val="Arial"/>
      <family val="2"/>
    </font>
    <font>
      <i/>
      <sz val="10"/>
      <color rgb="FF3366FF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3082"/>
      </patternFill>
    </fill>
    <fill>
      <patternFill patternType="solid">
        <fgColor rgb="FF0E7C3F"/>
      </patternFill>
    </fill>
    <fill>
      <patternFill patternType="solid">
        <fgColor rgb="FFB45309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14" fontId="3" fillId="0" borderId="0" xfId="0" applyNumberFormat="1" applyFont="1"/>
    <xf numFmtId="14" fontId="0" fillId="0" borderId="0" xfId="0" applyNumberFormat="1"/>
    <xf numFmtId="7" fontId="3" fillId="0" borderId="0" xfId="0" applyNumberFormat="1" applyFont="1"/>
    <xf numFmtId="164" fontId="3" fillId="0" borderId="0" xfId="0" applyNumberFormat="1" applyFont="1"/>
    <xf numFmtId="0" fontId="4" fillId="0" borderId="0" xfId="0" applyFont="1"/>
    <xf numFmtId="0" fontId="5" fillId="0" borderId="0" xfId="0" applyFont="1"/>
    <xf numFmtId="165" fontId="3" fillId="0" borderId="0" xfId="0" applyNumberFormat="1" applyFont="1"/>
    <xf numFmtId="165" fontId="0" fillId="0" borderId="0" xfId="0" applyNumberFormat="1"/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horizontal="center"/>
    </xf>
    <xf numFmtId="0" fontId="9" fillId="2" borderId="0" xfId="0" applyFont="1" applyFill="1" applyAlignment="1">
      <alignment horizontal="centerContinuous"/>
    </xf>
    <xf numFmtId="0" fontId="2" fillId="0" borderId="0" xfId="0" applyFont="1" applyAlignment="1">
      <alignment horizontal="center"/>
    </xf>
    <xf numFmtId="14" fontId="8" fillId="0" borderId="0" xfId="0" applyNumberFormat="1" applyFont="1" applyAlignment="1">
      <alignment horizontal="center"/>
    </xf>
    <xf numFmtId="0" fontId="10" fillId="2" borderId="0" xfId="0" applyFont="1" applyFill="1" applyAlignment="1">
      <alignment horizontal="centerContinuous"/>
    </xf>
    <xf numFmtId="0" fontId="8" fillId="0" borderId="0" xfId="0" applyFont="1"/>
    <xf numFmtId="165" fontId="2" fillId="0" borderId="1" xfId="0" applyNumberFormat="1" applyFont="1" applyBorder="1"/>
    <xf numFmtId="166" fontId="11" fillId="0" borderId="0" xfId="0" applyNumberFormat="1" applyFont="1"/>
    <xf numFmtId="165" fontId="11" fillId="0" borderId="0" xfId="0" applyNumberFormat="1" applyFont="1"/>
    <xf numFmtId="167" fontId="3" fillId="0" borderId="0" xfId="0" applyNumberFormat="1" applyFont="1"/>
    <xf numFmtId="164" fontId="8" fillId="0" borderId="0" xfId="0" applyNumberFormat="1" applyFont="1"/>
    <xf numFmtId="0" fontId="10" fillId="3" borderId="0" xfId="0" applyFont="1" applyFill="1" applyAlignment="1">
      <alignment horizontal="centerContinuous"/>
    </xf>
    <xf numFmtId="0" fontId="12" fillId="0" borderId="0" xfId="0" applyFont="1"/>
    <xf numFmtId="166" fontId="12" fillId="0" borderId="0" xfId="0" applyNumberFormat="1" applyFont="1"/>
    <xf numFmtId="168" fontId="8" fillId="0" borderId="0" xfId="0" applyNumberFormat="1" applyFont="1"/>
    <xf numFmtId="165" fontId="8" fillId="0" borderId="0" xfId="0" applyNumberFormat="1" applyFont="1"/>
    <xf numFmtId="169" fontId="8" fillId="0" borderId="0" xfId="0" applyNumberFormat="1" applyFont="1"/>
    <xf numFmtId="0" fontId="10" fillId="4" borderId="0" xfId="0" applyFont="1" applyFill="1" applyAlignment="1">
      <alignment horizontal="centerContinuous"/>
    </xf>
    <xf numFmtId="165" fontId="2" fillId="0" borderId="0" xfId="0" applyNumberFormat="1" applyFont="1"/>
    <xf numFmtId="165" fontId="7" fillId="0" borderId="0" xfId="0" applyNumberFormat="1" applyFont="1"/>
    <xf numFmtId="167" fontId="8" fillId="0" borderId="0" xfId="0" applyNumberFormat="1" applyFont="1"/>
    <xf numFmtId="7" fontId="8" fillId="0" borderId="0" xfId="0" applyNumberFormat="1" applyFont="1"/>
    <xf numFmtId="165" fontId="13" fillId="0" borderId="0" xfId="0" applyNumberFormat="1" applyFont="1"/>
    <xf numFmtId="166" fontId="8" fillId="0" borderId="0" xfId="0" applyNumberFormat="1" applyFont="1"/>
    <xf numFmtId="170" fontId="3" fillId="0" borderId="0" xfId="0" applyNumberFormat="1" applyFont="1"/>
    <xf numFmtId="171" fontId="8" fillId="0" borderId="0" xfId="0" applyNumberFormat="1" applyFont="1"/>
    <xf numFmtId="171" fontId="3" fillId="0" borderId="0" xfId="0" applyNumberFormat="1" applyFont="1"/>
    <xf numFmtId="172" fontId="3" fillId="0" borderId="0" xfId="0" applyNumberFormat="1" applyFont="1"/>
    <xf numFmtId="172" fontId="8" fillId="0" borderId="0" xfId="0" applyNumberFormat="1" applyFont="1"/>
    <xf numFmtId="10" fontId="8" fillId="0" borderId="0" xfId="0" applyNumberFormat="1" applyFont="1"/>
    <xf numFmtId="10" fontId="3" fillId="0" borderId="0" xfId="0" applyNumberFormat="1" applyFont="1"/>
    <xf numFmtId="173" fontId="3" fillId="0" borderId="0" xfId="0" applyNumberFormat="1" applyFont="1"/>
    <xf numFmtId="0" fontId="10" fillId="0" borderId="0" xfId="0" applyFont="1" applyAlignment="1">
      <alignment horizontal="centerContinuous"/>
    </xf>
    <xf numFmtId="165" fontId="14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F2B5B"/>
  </sheetPr>
  <dimension ref="A1:AH290"/>
  <sheetViews>
    <sheetView showGridLines="0" tabSelected="1" zoomScale="85" workbookViewId="0">
      <pane xSplit="4" ySplit="6" topLeftCell="L18" activePane="bottomRight" state="frozen"/>
      <selection pane="topRight"/>
      <selection pane="bottomLeft"/>
      <selection pane="bottomRight" activeCell="P26" sqref="P26"/>
    </sheetView>
  </sheetViews>
  <sheetFormatPr baseColWidth="10" defaultColWidth="8.83203125" defaultRowHeight="15" x14ac:dyDescent="0.2"/>
  <cols>
    <col min="1" max="1" width="1.6640625" customWidth="1"/>
    <col min="2" max="3" width="2.33203125" customWidth="1"/>
    <col min="4" max="4" width="50" customWidth="1"/>
    <col min="5" max="5" width="4" customWidth="1"/>
    <col min="6" max="6" width="1.6640625" customWidth="1"/>
    <col min="7" max="22" width="12" customWidth="1"/>
    <col min="23" max="23" width="1.6640625" customWidth="1"/>
    <col min="24" max="31" width="12" customWidth="1"/>
    <col min="32" max="32" width="1.6640625" customWidth="1"/>
    <col min="33" max="34" width="10" customWidth="1"/>
  </cols>
  <sheetData>
    <row r="1" spans="1:34" ht="18" x14ac:dyDescent="0.2">
      <c r="B1" s="12" t="str">
        <f>"Income Statement, Balance Sheet, and Cash Flow Statement for "&amp;Name</f>
        <v>Income Statement, Balance Sheet, and Cash Flow Statement for Chime Financial, Inc.</v>
      </c>
    </row>
    <row r="2" spans="1:34" x14ac:dyDescent="0.2">
      <c r="B2" s="13" t="str">
        <f>Subheader</f>
        <v>Dollars in millions, except per share</v>
      </c>
    </row>
    <row r="3" spans="1:34" x14ac:dyDescent="0.2">
      <c r="AG3" s="14" t="str">
        <f>AA5&amp;" - "&amp;AE5</f>
        <v>2026E - 2030E</v>
      </c>
    </row>
    <row r="4" spans="1:34" x14ac:dyDescent="0.2">
      <c r="B4" s="15"/>
      <c r="C4" s="15"/>
      <c r="D4" s="15"/>
      <c r="E4" s="15"/>
      <c r="F4" s="15"/>
      <c r="G4" s="15" t="s">
        <v>0</v>
      </c>
      <c r="H4" s="15"/>
      <c r="I4" s="15"/>
      <c r="J4" s="15"/>
      <c r="K4" s="15"/>
      <c r="L4" s="15"/>
      <c r="M4" s="15"/>
      <c r="N4" s="15"/>
      <c r="O4" s="15" t="s">
        <v>1</v>
      </c>
      <c r="P4" s="15"/>
      <c r="Q4" s="15"/>
      <c r="R4" s="15"/>
      <c r="S4" s="15"/>
      <c r="T4" s="15"/>
      <c r="U4" s="15"/>
      <c r="V4" s="15"/>
      <c r="X4" s="15" t="s">
        <v>2</v>
      </c>
      <c r="Y4" s="15"/>
      <c r="Z4" s="15"/>
      <c r="AA4" s="15" t="s">
        <v>3</v>
      </c>
      <c r="AB4" s="15"/>
      <c r="AC4" s="15"/>
      <c r="AD4" s="15"/>
      <c r="AE4" s="15"/>
      <c r="AG4" s="16" t="s">
        <v>4</v>
      </c>
      <c r="AH4" s="16" t="s">
        <v>5</v>
      </c>
    </row>
    <row r="5" spans="1:34" x14ac:dyDescent="0.2">
      <c r="G5" s="16" t="s">
        <v>6</v>
      </c>
      <c r="H5" s="16" t="s">
        <v>7</v>
      </c>
      <c r="I5" s="16" t="s">
        <v>8</v>
      </c>
      <c r="J5" s="16" t="s">
        <v>9</v>
      </c>
      <c r="K5" s="16" t="s">
        <v>10</v>
      </c>
      <c r="L5" s="16" t="s">
        <v>11</v>
      </c>
      <c r="M5" s="16" t="s">
        <v>12</v>
      </c>
      <c r="N5" s="16" t="s">
        <v>13</v>
      </c>
      <c r="O5" s="16" t="s">
        <v>14</v>
      </c>
      <c r="P5" s="16" t="s">
        <v>15</v>
      </c>
      <c r="Q5" s="16" t="s">
        <v>16</v>
      </c>
      <c r="R5" s="16" t="s">
        <v>17</v>
      </c>
      <c r="S5" s="16" t="s">
        <v>18</v>
      </c>
      <c r="T5" s="16" t="s">
        <v>19</v>
      </c>
      <c r="U5" s="16" t="s">
        <v>20</v>
      </c>
      <c r="V5" s="16" t="s">
        <v>21</v>
      </c>
      <c r="X5" s="16">
        <v>2023</v>
      </c>
      <c r="Y5" s="16">
        <v>2024</v>
      </c>
      <c r="Z5" s="16">
        <v>2025</v>
      </c>
      <c r="AA5" s="16" t="s">
        <v>22</v>
      </c>
      <c r="AB5" s="16" t="s">
        <v>23</v>
      </c>
      <c r="AC5" s="16" t="s">
        <v>24</v>
      </c>
      <c r="AD5" s="16" t="s">
        <v>25</v>
      </c>
      <c r="AE5" s="16" t="s">
        <v>26</v>
      </c>
    </row>
    <row r="6" spans="1:34" x14ac:dyDescent="0.2">
      <c r="G6" s="17">
        <v>45473</v>
      </c>
      <c r="H6" s="17">
        <v>45565</v>
      </c>
      <c r="I6" s="17">
        <v>45657</v>
      </c>
      <c r="J6" s="17">
        <v>45747</v>
      </c>
      <c r="K6" s="17">
        <v>45838</v>
      </c>
      <c r="L6" s="17">
        <v>45930</v>
      </c>
      <c r="M6" s="17">
        <v>46022</v>
      </c>
      <c r="N6" s="17">
        <v>46112</v>
      </c>
      <c r="O6" s="17">
        <v>46112</v>
      </c>
      <c r="P6" s="17">
        <v>46203</v>
      </c>
      <c r="Q6" s="17">
        <v>46295</v>
      </c>
      <c r="R6" s="17">
        <v>46387</v>
      </c>
      <c r="S6" s="17">
        <v>46477</v>
      </c>
      <c r="T6" s="17">
        <v>46568</v>
      </c>
      <c r="U6" s="17">
        <v>46660</v>
      </c>
      <c r="V6" s="17">
        <v>46752</v>
      </c>
      <c r="X6" s="17">
        <v>45291</v>
      </c>
      <c r="Y6" s="17">
        <v>45657</v>
      </c>
      <c r="Z6" s="17">
        <v>46022</v>
      </c>
      <c r="AA6" s="17">
        <v>46387</v>
      </c>
      <c r="AB6" s="17">
        <v>46752</v>
      </c>
      <c r="AC6" s="17">
        <v>47118</v>
      </c>
      <c r="AD6" s="17">
        <v>47483</v>
      </c>
      <c r="AE6" s="17">
        <v>47848</v>
      </c>
    </row>
    <row r="8" spans="1:34" ht="16" x14ac:dyDescent="0.2">
      <c r="B8" s="18" t="s">
        <v>27</v>
      </c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X8" s="18"/>
      <c r="Y8" s="18"/>
      <c r="Z8" s="18"/>
      <c r="AA8" s="18"/>
      <c r="AB8" s="18"/>
      <c r="AC8" s="18"/>
      <c r="AD8" s="18"/>
      <c r="AE8" s="18"/>
    </row>
    <row r="9" spans="1:34" x14ac:dyDescent="0.2">
      <c r="C9" s="9" t="s">
        <v>28</v>
      </c>
    </row>
    <row r="10" spans="1:34" x14ac:dyDescent="0.2">
      <c r="A10" s="1" t="s">
        <v>29</v>
      </c>
      <c r="B10" s="2" t="s">
        <v>30</v>
      </c>
      <c r="G10" s="10">
        <v>384.214</v>
      </c>
      <c r="H10" s="10">
        <v>421.87099999999998</v>
      </c>
      <c r="I10" s="10">
        <v>475.21199999999999</v>
      </c>
      <c r="J10" s="10">
        <v>518.74400000000003</v>
      </c>
      <c r="K10" s="10">
        <v>528.149</v>
      </c>
      <c r="L10" s="10">
        <v>543.51900000000001</v>
      </c>
      <c r="M10" s="10">
        <v>596.35799999999995</v>
      </c>
      <c r="N10" s="10">
        <v>647.38699999999994</v>
      </c>
      <c r="O10" s="47">
        <f t="shared" ref="O10:V10" si="0">O86</f>
        <v>639.39049999999997</v>
      </c>
      <c r="P10" s="47">
        <f t="shared" si="0"/>
        <v>663.64199999999994</v>
      </c>
      <c r="Q10" s="47">
        <f t="shared" si="0"/>
        <v>715.71500000000003</v>
      </c>
      <c r="R10" s="47">
        <f t="shared" si="0"/>
        <v>759.68224999999995</v>
      </c>
      <c r="S10" s="47">
        <f t="shared" si="0"/>
        <v>763.39874999999995</v>
      </c>
      <c r="T10" s="47">
        <f t="shared" si="0"/>
        <v>790.32600000000002</v>
      </c>
      <c r="U10" s="47">
        <f t="shared" si="0"/>
        <v>848.8024999999999</v>
      </c>
      <c r="V10" s="47">
        <f t="shared" si="0"/>
        <v>901.09800000000007</v>
      </c>
      <c r="X10" s="10">
        <v>1278.4549999999999</v>
      </c>
      <c r="Y10" s="10">
        <v>1673.269</v>
      </c>
      <c r="Z10" s="10">
        <v>2186.77</v>
      </c>
      <c r="AA10" s="20">
        <f>O10+P10+Q10+R10</f>
        <v>2778.4297499999998</v>
      </c>
      <c r="AB10" s="20">
        <f>S10+T10+U10+V10</f>
        <v>3303.6252499999996</v>
      </c>
      <c r="AC10" s="47">
        <f>AC86</f>
        <v>3713.616</v>
      </c>
      <c r="AD10" s="47">
        <f>AD86</f>
        <v>4414.6672499999986</v>
      </c>
      <c r="AE10" s="47">
        <f>AE86</f>
        <v>5194.8059400000002</v>
      </c>
    </row>
    <row r="12" spans="1:34" x14ac:dyDescent="0.2">
      <c r="D12" s="19" t="s">
        <v>31</v>
      </c>
      <c r="G12" s="10">
        <v>-50.503999999999998</v>
      </c>
      <c r="H12" s="10">
        <v>-53.515999999999998</v>
      </c>
      <c r="I12" s="10">
        <v>-56.043999999999997</v>
      </c>
      <c r="J12" s="10">
        <v>-60.417999999999999</v>
      </c>
      <c r="K12" s="10">
        <v>-67.12</v>
      </c>
      <c r="L12" s="10">
        <v>-69.400999999999996</v>
      </c>
      <c r="M12" s="10">
        <v>-66.108000000000004</v>
      </c>
      <c r="N12" s="10">
        <v>-67.073999999999998</v>
      </c>
      <c r="O12" s="29">
        <f>-O10*0.108</f>
        <v>-69.054174000000003</v>
      </c>
      <c r="P12" s="29">
        <f>-P10*0.105</f>
        <v>-69.68240999999999</v>
      </c>
      <c r="Q12" s="29">
        <f>-Q10*0.105</f>
        <v>-75.150075000000001</v>
      </c>
      <c r="R12" s="29">
        <f>-R10*0.105</f>
        <v>-79.766636249999991</v>
      </c>
      <c r="S12" s="29">
        <f>-S10*0.103</f>
        <v>-78.630071249999986</v>
      </c>
      <c r="T12" s="29">
        <f>-T10*0.102</f>
        <v>-80.613252000000003</v>
      </c>
      <c r="U12" s="29">
        <f>-U10*0.102</f>
        <v>-86.577854999999985</v>
      </c>
      <c r="V12" s="29">
        <f>-V10*0.1</f>
        <v>-90.109800000000007</v>
      </c>
      <c r="X12" s="10">
        <v>-219.73699999999999</v>
      </c>
      <c r="Y12" s="10">
        <v>-207.511</v>
      </c>
      <c r="Z12" s="10">
        <v>-263.04700000000003</v>
      </c>
      <c r="AA12" s="29">
        <f>O12+P12+Q12+R12</f>
        <v>-293.65329524999999</v>
      </c>
      <c r="AB12" s="29">
        <f>S12+T12+U12+V12</f>
        <v>-335.93097825000001</v>
      </c>
      <c r="AC12" s="29">
        <f>-AC10*0.1</f>
        <v>-371.36160000000001</v>
      </c>
      <c r="AD12" s="29">
        <f>-AD10*0.098</f>
        <v>-432.63739049999987</v>
      </c>
      <c r="AE12" s="29">
        <f>-AE10*0.095</f>
        <v>-493.50656430000004</v>
      </c>
    </row>
    <row r="14" spans="1:34" x14ac:dyDescent="0.2">
      <c r="A14" s="1" t="s">
        <v>29</v>
      </c>
      <c r="B14" s="2" t="s">
        <v>32</v>
      </c>
      <c r="G14" s="20">
        <f t="shared" ref="G14:V14" si="1">SUM(G10:G12)</f>
        <v>333.71</v>
      </c>
      <c r="H14" s="20">
        <f t="shared" si="1"/>
        <v>368.35499999999996</v>
      </c>
      <c r="I14" s="20">
        <f t="shared" si="1"/>
        <v>419.16800000000001</v>
      </c>
      <c r="J14" s="20">
        <f t="shared" si="1"/>
        <v>458.32600000000002</v>
      </c>
      <c r="K14" s="20">
        <f t="shared" si="1"/>
        <v>461.029</v>
      </c>
      <c r="L14" s="20">
        <f t="shared" si="1"/>
        <v>474.11799999999999</v>
      </c>
      <c r="M14" s="20">
        <f t="shared" si="1"/>
        <v>530.25</v>
      </c>
      <c r="N14" s="20">
        <f t="shared" si="1"/>
        <v>580.31299999999999</v>
      </c>
      <c r="O14" s="20">
        <f t="shared" si="1"/>
        <v>570.33632599999999</v>
      </c>
      <c r="P14" s="20">
        <f t="shared" si="1"/>
        <v>593.95958999999993</v>
      </c>
      <c r="Q14" s="20">
        <f t="shared" si="1"/>
        <v>640.56492500000002</v>
      </c>
      <c r="R14" s="20">
        <f t="shared" si="1"/>
        <v>679.91561374999992</v>
      </c>
      <c r="S14" s="20">
        <f t="shared" si="1"/>
        <v>684.76867874999994</v>
      </c>
      <c r="T14" s="20">
        <f t="shared" si="1"/>
        <v>709.71274800000003</v>
      </c>
      <c r="U14" s="20">
        <f t="shared" si="1"/>
        <v>762.2246449999999</v>
      </c>
      <c r="V14" s="20">
        <f t="shared" si="1"/>
        <v>810.98820000000001</v>
      </c>
      <c r="X14" s="20">
        <f>SUM(X10:X12)</f>
        <v>1058.7179999999998</v>
      </c>
      <c r="Y14" s="20">
        <f>SUM(Y10:Y12)</f>
        <v>1465.758</v>
      </c>
      <c r="Z14" s="20">
        <f>SUM(Z10:Z12)</f>
        <v>1923.723</v>
      </c>
      <c r="AA14" s="20">
        <f>O14+P14+Q14+R14</f>
        <v>2484.7764547500001</v>
      </c>
      <c r="AB14" s="20">
        <f>S14+T14+U14+V14</f>
        <v>2967.6942717499996</v>
      </c>
      <c r="AC14" s="20">
        <f>SUM(AC10:AC12)</f>
        <v>3342.2543999999998</v>
      </c>
      <c r="AD14" s="20">
        <f>SUM(AD10:AD12)</f>
        <v>3982.0298594999986</v>
      </c>
      <c r="AE14" s="20">
        <f>SUM(AE10:AE12)</f>
        <v>4701.2993757000004</v>
      </c>
    </row>
    <row r="15" spans="1:34" x14ac:dyDescent="0.2">
      <c r="D15" s="9" t="s">
        <v>33</v>
      </c>
      <c r="G15" s="21">
        <f>G14-_reported!G9</f>
        <v>0</v>
      </c>
      <c r="H15" s="21">
        <f>H14-_reported!H9</f>
        <v>0</v>
      </c>
      <c r="I15" s="21">
        <f>I14-_reported!I9</f>
        <v>0</v>
      </c>
      <c r="J15" s="21">
        <f>J14-_reported!J9</f>
        <v>0</v>
      </c>
      <c r="K15" s="21">
        <f>K14-_reported!K9</f>
        <v>0</v>
      </c>
      <c r="L15" s="21">
        <f>L14-_reported!L9</f>
        <v>0</v>
      </c>
      <c r="M15" s="21">
        <f>M14-_reported!M9</f>
        <v>0</v>
      </c>
      <c r="N15" s="21">
        <f>N14-_reported!N9</f>
        <v>0</v>
      </c>
      <c r="X15" s="21">
        <f>X14-_reported!X9</f>
        <v>0</v>
      </c>
      <c r="Y15" s="21">
        <f>Y14-_reported!Y9</f>
        <v>0</v>
      </c>
      <c r="Z15" s="21">
        <f>Z14-_reported!Z9</f>
        <v>0</v>
      </c>
    </row>
    <row r="17" spans="1:31" x14ac:dyDescent="0.2">
      <c r="D17" s="19" t="s">
        <v>34</v>
      </c>
      <c r="G17" s="10">
        <v>-35</v>
      </c>
      <c r="H17" s="10">
        <v>-55.158999999999999</v>
      </c>
      <c r="I17" s="10">
        <v>-93.49</v>
      </c>
      <c r="J17" s="10">
        <v>-109.145</v>
      </c>
      <c r="K17" s="10">
        <v>-98.247</v>
      </c>
      <c r="L17" s="10">
        <v>-97.052999999999997</v>
      </c>
      <c r="M17" s="10">
        <v>-102.878</v>
      </c>
      <c r="N17" s="10">
        <v>-88.905000000000001</v>
      </c>
      <c r="O17" s="29">
        <f>-O10*0.142</f>
        <v>-90.79345099999999</v>
      </c>
      <c r="P17" s="29">
        <f>-P10*0.137</f>
        <v>-90.918953999999999</v>
      </c>
      <c r="Q17" s="29">
        <f>-Q10*0.132</f>
        <v>-94.474380000000011</v>
      </c>
      <c r="R17" s="29">
        <f>-R10*0.132</f>
        <v>-100.278057</v>
      </c>
      <c r="S17" s="29">
        <f>-S10*0.127</f>
        <v>-96.951641249999994</v>
      </c>
      <c r="T17" s="29">
        <f>-T10*0.122</f>
        <v>-96.419771999999995</v>
      </c>
      <c r="U17" s="29">
        <f>-U10*0.118</f>
        <v>-100.15869499999998</v>
      </c>
      <c r="V17" s="29">
        <f>-V10*0.115</f>
        <v>-103.62627000000002</v>
      </c>
      <c r="X17" s="10">
        <v>-152.375</v>
      </c>
      <c r="Y17" s="10">
        <v>-219.68700000000001</v>
      </c>
      <c r="Z17" s="10">
        <v>-407.32299999999998</v>
      </c>
      <c r="AA17" s="29">
        <f t="shared" ref="AA17:AA23" si="2">O17+P17+Q17+R17</f>
        <v>-376.46484199999998</v>
      </c>
      <c r="AB17" s="29">
        <f t="shared" ref="AB17:AB23" si="3">S17+T17+U17+V17</f>
        <v>-397.15637824999999</v>
      </c>
      <c r="AC17" s="29">
        <f>-AC10*0.115</f>
        <v>-427.06584000000004</v>
      </c>
      <c r="AD17" s="29">
        <f>-AD10*0.108</f>
        <v>-476.78406299999983</v>
      </c>
      <c r="AE17" s="29">
        <f>-AE10*0.1</f>
        <v>-519.480594</v>
      </c>
    </row>
    <row r="18" spans="1:31" x14ac:dyDescent="0.2">
      <c r="D18" s="19" t="s">
        <v>35</v>
      </c>
      <c r="G18" s="23">
        <v>-69.820999999999998</v>
      </c>
      <c r="H18" s="23">
        <v>-70.054000000000002</v>
      </c>
      <c r="I18" s="23">
        <v>-78.912999999999997</v>
      </c>
      <c r="J18" s="23">
        <v>-78.608999999999995</v>
      </c>
      <c r="K18" s="23">
        <v>-203.09700000000001</v>
      </c>
      <c r="L18" s="23">
        <v>-83.658000000000001</v>
      </c>
      <c r="M18" s="23">
        <v>-92.614000000000004</v>
      </c>
      <c r="N18" s="23">
        <v>-95.399000000000001</v>
      </c>
      <c r="O18" s="34">
        <f>-O10*0.152</f>
        <v>-97.187355999999994</v>
      </c>
      <c r="P18" s="34">
        <f>-P10*0.147</f>
        <v>-97.555373999999986</v>
      </c>
      <c r="Q18" s="34">
        <f>-Q10*0.145</f>
        <v>-103.77867499999999</v>
      </c>
      <c r="R18" s="34">
        <f>-R10*0.142</f>
        <v>-107.87487949999998</v>
      </c>
      <c r="S18" s="34">
        <f>-S10*0.14</f>
        <v>-106.87582500000001</v>
      </c>
      <c r="T18" s="34">
        <f>-T10*0.135</f>
        <v>-106.69401000000001</v>
      </c>
      <c r="U18" s="34">
        <f>-U10*0.132</f>
        <v>-112.04192999999999</v>
      </c>
      <c r="V18" s="34">
        <f>-V10*0.128</f>
        <v>-115.34054400000001</v>
      </c>
      <c r="X18" s="23">
        <v>-272.755</v>
      </c>
      <c r="Y18" s="23">
        <v>-286.85599999999999</v>
      </c>
      <c r="Z18" s="23">
        <v>-457.97800000000001</v>
      </c>
      <c r="AA18" s="34">
        <f t="shared" si="2"/>
        <v>-406.39628449999992</v>
      </c>
      <c r="AB18" s="34">
        <f t="shared" si="3"/>
        <v>-440.95230900000001</v>
      </c>
      <c r="AC18" s="34">
        <f>-AC10*0.128</f>
        <v>-475.342848</v>
      </c>
      <c r="AD18" s="34">
        <f>-AD10*0.12</f>
        <v>-529.76006999999981</v>
      </c>
      <c r="AE18" s="34">
        <f>-AE10*0.112</f>
        <v>-581.81826527999999</v>
      </c>
    </row>
    <row r="19" spans="1:31" x14ac:dyDescent="0.2">
      <c r="D19" s="19" t="s">
        <v>36</v>
      </c>
      <c r="G19" s="23">
        <v>-118.021</v>
      </c>
      <c r="H19" s="23">
        <v>-143.12299999999999</v>
      </c>
      <c r="I19" s="23">
        <v>-141.56899999999999</v>
      </c>
      <c r="J19" s="23">
        <v>-132.57300000000001</v>
      </c>
      <c r="K19" s="23">
        <v>-185.006</v>
      </c>
      <c r="L19" s="23">
        <v>-153.608</v>
      </c>
      <c r="M19" s="23">
        <v>-164.197</v>
      </c>
      <c r="N19" s="23">
        <v>-165.43100000000001</v>
      </c>
      <c r="O19" s="34">
        <f>-O10*0.275</f>
        <v>-175.83238750000001</v>
      </c>
      <c r="P19" s="34">
        <f>-P10*0.265</f>
        <v>-175.86512999999999</v>
      </c>
      <c r="Q19" s="34">
        <f>-Q10*0.26</f>
        <v>-186.08590000000001</v>
      </c>
      <c r="R19" s="34">
        <f>-R10*0.255</f>
        <v>-193.71897375</v>
      </c>
      <c r="S19" s="34">
        <f>-S10*0.265</f>
        <v>-202.30066875</v>
      </c>
      <c r="T19" s="34">
        <f>-T10*0.26</f>
        <v>-205.48476000000002</v>
      </c>
      <c r="U19" s="34">
        <f>-U10*0.255</f>
        <v>-216.44463749999997</v>
      </c>
      <c r="V19" s="34">
        <f>-V10*0.25</f>
        <v>-225.27450000000002</v>
      </c>
      <c r="X19" s="23">
        <v>-443.80599999999998</v>
      </c>
      <c r="Y19" s="23">
        <v>-519.76</v>
      </c>
      <c r="Z19" s="23">
        <v>-635.38400000000001</v>
      </c>
      <c r="AA19" s="34">
        <f t="shared" si="2"/>
        <v>-731.50239125000007</v>
      </c>
      <c r="AB19" s="34">
        <f t="shared" si="3"/>
        <v>-849.50456625000004</v>
      </c>
      <c r="AC19" s="34">
        <f>-AC10*0.245</f>
        <v>-909.83591999999999</v>
      </c>
      <c r="AD19" s="34">
        <f>-AD10*0.235</f>
        <v>-1037.4468037499996</v>
      </c>
      <c r="AE19" s="34">
        <f>-AE10*0.225</f>
        <v>-1168.8313365000001</v>
      </c>
    </row>
    <row r="20" spans="1:31" x14ac:dyDescent="0.2">
      <c r="D20" s="19" t="s">
        <v>37</v>
      </c>
      <c r="G20" s="23">
        <v>-75.370999999999995</v>
      </c>
      <c r="H20" s="23">
        <v>-80.400000000000006</v>
      </c>
      <c r="I20" s="23">
        <v>-78.873999999999995</v>
      </c>
      <c r="J20" s="23">
        <v>-77.882000000000005</v>
      </c>
      <c r="K20" s="23">
        <v>-621.75400000000002</v>
      </c>
      <c r="L20" s="23">
        <v>-123.94199999999999</v>
      </c>
      <c r="M20" s="23">
        <v>-111.34699999999999</v>
      </c>
      <c r="N20" s="23">
        <v>-109.78</v>
      </c>
      <c r="O20" s="34">
        <f>-O10*0.175</f>
        <v>-111.89333749999999</v>
      </c>
      <c r="P20" s="34">
        <f>-P10*0.17</f>
        <v>-112.81914</v>
      </c>
      <c r="Q20" s="34">
        <f>-Q10*0.165</f>
        <v>-118.09297500000001</v>
      </c>
      <c r="R20" s="34">
        <f>-R10*0.16</f>
        <v>-121.54916</v>
      </c>
      <c r="S20" s="34">
        <f>-S10*0.158</f>
        <v>-120.6170025</v>
      </c>
      <c r="T20" s="34">
        <f>-T10*0.155</f>
        <v>-122.50053</v>
      </c>
      <c r="U20" s="34">
        <f>-U10*0.15</f>
        <v>-127.32037499999998</v>
      </c>
      <c r="V20" s="34">
        <f>-V10*0.147</f>
        <v>-132.46140600000001</v>
      </c>
      <c r="X20" s="23">
        <v>-259.00099999999998</v>
      </c>
      <c r="Y20" s="23">
        <v>-309.57499999999999</v>
      </c>
      <c r="Z20" s="23">
        <v>-934.92499999999995</v>
      </c>
      <c r="AA20" s="34">
        <f t="shared" si="2"/>
        <v>-464.35461250000003</v>
      </c>
      <c r="AB20" s="34">
        <f t="shared" si="3"/>
        <v>-502.89931349999995</v>
      </c>
      <c r="AC20" s="34">
        <f>-AC10*0.147</f>
        <v>-545.90155199999992</v>
      </c>
      <c r="AD20" s="34">
        <f>-AD10*0.138</f>
        <v>-609.2240804999999</v>
      </c>
      <c r="AE20" s="34">
        <f>-AE10*0.128</f>
        <v>-664.93516032000002</v>
      </c>
    </row>
    <row r="21" spans="1:31" x14ac:dyDescent="0.2">
      <c r="D21" s="19" t="s">
        <v>38</v>
      </c>
      <c r="G21" s="23">
        <v>-41.637999999999998</v>
      </c>
      <c r="H21" s="23">
        <v>-46.645000000000003</v>
      </c>
      <c r="I21" s="23">
        <v>-49.694000000000003</v>
      </c>
      <c r="J21" s="23">
        <v>-47.173000000000002</v>
      </c>
      <c r="K21" s="23">
        <v>-279.66699999999997</v>
      </c>
      <c r="L21" s="23">
        <v>-76.575000000000003</v>
      </c>
      <c r="M21" s="23">
        <v>-108.69799999999999</v>
      </c>
      <c r="N21" s="23">
        <v>-70.466999999999999</v>
      </c>
      <c r="O21" s="34">
        <f>-O10*0.11</f>
        <v>-70.332954999999998</v>
      </c>
      <c r="P21" s="34">
        <f>-P10*0.105</f>
        <v>-69.68240999999999</v>
      </c>
      <c r="Q21" s="34">
        <f>-Q10*0.1</f>
        <v>-71.5715</v>
      </c>
      <c r="R21" s="34">
        <f>-R10*0.095</f>
        <v>-72.169813750000003</v>
      </c>
      <c r="S21" s="34">
        <f>-S10*0.09</f>
        <v>-68.705887499999989</v>
      </c>
      <c r="T21" s="34">
        <f>-T10*0.085</f>
        <v>-67.177710000000005</v>
      </c>
      <c r="U21" s="34">
        <f>-U10*0.082</f>
        <v>-69.601804999999999</v>
      </c>
      <c r="V21" s="34">
        <f>-V10*0.078</f>
        <v>-70.285644000000005</v>
      </c>
      <c r="X21" s="23">
        <v>-154.94499999999999</v>
      </c>
      <c r="Y21" s="23">
        <v>-177.22900000000001</v>
      </c>
      <c r="Z21" s="23">
        <v>-512.11300000000006</v>
      </c>
      <c r="AA21" s="34">
        <f t="shared" si="2"/>
        <v>-283.75667874999999</v>
      </c>
      <c r="AB21" s="34">
        <f t="shared" si="3"/>
        <v>-275.77104650000001</v>
      </c>
      <c r="AC21" s="34">
        <f>-AC10*0.08</f>
        <v>-297.08928000000003</v>
      </c>
      <c r="AD21" s="34">
        <f>-AD10*0.073</f>
        <v>-322.27070924999987</v>
      </c>
      <c r="AE21" s="34">
        <f>-AE10*0.068</f>
        <v>-353.24680392000005</v>
      </c>
    </row>
    <row r="22" spans="1:31" x14ac:dyDescent="0.2">
      <c r="D22" s="19" t="s">
        <v>39</v>
      </c>
      <c r="G22" s="23">
        <v>-3.3</v>
      </c>
      <c r="H22" s="23">
        <v>-3.6179999999999999</v>
      </c>
      <c r="I22" s="23">
        <v>-3.774</v>
      </c>
      <c r="J22" s="23">
        <v>-3.8069999999999999</v>
      </c>
      <c r="K22" s="23">
        <v>-3.8959999999999999</v>
      </c>
      <c r="L22" s="23">
        <v>-3.992</v>
      </c>
      <c r="M22" s="23">
        <v>-4.2839999999999998</v>
      </c>
      <c r="N22" s="23">
        <v>-4.1680000000000001</v>
      </c>
      <c r="O22" s="34">
        <f t="shared" ref="O22:V22" si="4">-O10*0.0065</f>
        <v>-4.1560382499999999</v>
      </c>
      <c r="P22" s="34">
        <f t="shared" si="4"/>
        <v>-4.3136729999999996</v>
      </c>
      <c r="Q22" s="34">
        <f t="shared" si="4"/>
        <v>-4.6521474999999999</v>
      </c>
      <c r="R22" s="34">
        <f t="shared" si="4"/>
        <v>-4.9379346249999996</v>
      </c>
      <c r="S22" s="34">
        <f t="shared" si="4"/>
        <v>-4.9620918749999996</v>
      </c>
      <c r="T22" s="34">
        <f t="shared" si="4"/>
        <v>-5.1371190000000002</v>
      </c>
      <c r="U22" s="34">
        <f t="shared" si="4"/>
        <v>-5.5172162499999988</v>
      </c>
      <c r="V22" s="34">
        <f t="shared" si="4"/>
        <v>-5.8571369999999998</v>
      </c>
      <c r="X22" s="23">
        <v>-11.621</v>
      </c>
      <c r="Y22" s="23">
        <v>-14.85</v>
      </c>
      <c r="Z22" s="23">
        <v>-15.978999999999999</v>
      </c>
      <c r="AA22" s="34">
        <f t="shared" si="2"/>
        <v>-18.059793374999998</v>
      </c>
      <c r="AB22" s="34">
        <f t="shared" si="3"/>
        <v>-21.473564124999999</v>
      </c>
      <c r="AC22" s="34">
        <f>-AC10*0.0065</f>
        <v>-24.138503999999998</v>
      </c>
      <c r="AD22" s="34">
        <f>-AD10*0.0065</f>
        <v>-28.695337124999991</v>
      </c>
      <c r="AE22" s="34">
        <f>-AE10*0.0065</f>
        <v>-33.766238610000002</v>
      </c>
    </row>
    <row r="23" spans="1:31" x14ac:dyDescent="0.2">
      <c r="C23" s="2" t="s">
        <v>40</v>
      </c>
      <c r="G23" s="20">
        <f t="shared" ref="G23:V23" si="5">SUM(G17:G22)</f>
        <v>-343.15099999999995</v>
      </c>
      <c r="H23" s="20">
        <f t="shared" si="5"/>
        <v>-398.99899999999997</v>
      </c>
      <c r="I23" s="20">
        <f t="shared" si="5"/>
        <v>-446.31400000000002</v>
      </c>
      <c r="J23" s="20">
        <f t="shared" si="5"/>
        <v>-449.18900000000002</v>
      </c>
      <c r="K23" s="20">
        <f t="shared" si="5"/>
        <v>-1391.6669999999999</v>
      </c>
      <c r="L23" s="20">
        <f t="shared" si="5"/>
        <v>-538.82799999999997</v>
      </c>
      <c r="M23" s="20">
        <f t="shared" si="5"/>
        <v>-584.01800000000003</v>
      </c>
      <c r="N23" s="20">
        <f t="shared" si="5"/>
        <v>-534.15</v>
      </c>
      <c r="O23" s="20">
        <f t="shared" si="5"/>
        <v>-550.19552525000006</v>
      </c>
      <c r="P23" s="20">
        <f t="shared" si="5"/>
        <v>-551.15468099999998</v>
      </c>
      <c r="Q23" s="20">
        <f t="shared" si="5"/>
        <v>-578.65557750000005</v>
      </c>
      <c r="R23" s="20">
        <f t="shared" si="5"/>
        <v>-600.52881862499999</v>
      </c>
      <c r="S23" s="20">
        <f t="shared" si="5"/>
        <v>-600.41311687500001</v>
      </c>
      <c r="T23" s="20">
        <f t="shared" si="5"/>
        <v>-603.41390100000012</v>
      </c>
      <c r="U23" s="20">
        <f t="shared" si="5"/>
        <v>-631.08465875000002</v>
      </c>
      <c r="V23" s="20">
        <f t="shared" si="5"/>
        <v>-652.84550100000001</v>
      </c>
      <c r="X23" s="20">
        <f>SUM(X17:X22)</f>
        <v>-1294.5029999999999</v>
      </c>
      <c r="Y23" s="20">
        <f>SUM(Y17:Y22)</f>
        <v>-1527.9569999999999</v>
      </c>
      <c r="Z23" s="20">
        <f>SUM(Z17:Z22)</f>
        <v>-2963.7019999999998</v>
      </c>
      <c r="AA23" s="20">
        <f t="shared" si="2"/>
        <v>-2280.5346023750003</v>
      </c>
      <c r="AB23" s="20">
        <f t="shared" si="3"/>
        <v>-2487.7571776250002</v>
      </c>
      <c r="AC23" s="20">
        <f>SUM(AC17:AC22)</f>
        <v>-2679.3739439999999</v>
      </c>
      <c r="AD23" s="20">
        <f>SUM(AD17:AD22)</f>
        <v>-3004.1810636249993</v>
      </c>
      <c r="AE23" s="20">
        <f>SUM(AE17:AE22)</f>
        <v>-3322.0783986300003</v>
      </c>
    </row>
    <row r="24" spans="1:31" x14ac:dyDescent="0.2">
      <c r="D24" s="9" t="s">
        <v>33</v>
      </c>
      <c r="G24" s="21">
        <f>G23-_reported!G10</f>
        <v>0</v>
      </c>
      <c r="H24" s="21">
        <f>H23-_reported!H10</f>
        <v>0</v>
      </c>
      <c r="I24" s="21">
        <f>I23-_reported!I10</f>
        <v>0</v>
      </c>
      <c r="J24" s="21">
        <f>J23-_reported!J10</f>
        <v>0</v>
      </c>
      <c r="K24" s="21">
        <f>K23-_reported!K10</f>
        <v>0</v>
      </c>
      <c r="L24" s="21">
        <f>L23-_reported!L10</f>
        <v>0</v>
      </c>
      <c r="M24" s="21">
        <f>M23-_reported!M10</f>
        <v>0</v>
      </c>
      <c r="N24" s="21">
        <f>N23-_reported!N10</f>
        <v>0</v>
      </c>
      <c r="X24" s="21">
        <f>X23-_reported!X10</f>
        <v>0</v>
      </c>
      <c r="Y24" s="21">
        <f>Y23-_reported!Y10</f>
        <v>0</v>
      </c>
      <c r="Z24" s="21">
        <f>Z23-_reported!Z10</f>
        <v>0</v>
      </c>
    </row>
    <row r="26" spans="1:31" x14ac:dyDescent="0.2">
      <c r="A26" s="1" t="s">
        <v>29</v>
      </c>
      <c r="B26" s="2" t="s">
        <v>41</v>
      </c>
      <c r="G26" s="20">
        <f t="shared" ref="G26:V26" si="6">G14+G23</f>
        <v>-9.4409999999999741</v>
      </c>
      <c r="H26" s="20">
        <f t="shared" si="6"/>
        <v>-30.644000000000005</v>
      </c>
      <c r="I26" s="20">
        <f t="shared" si="6"/>
        <v>-27.146000000000015</v>
      </c>
      <c r="J26" s="20">
        <f t="shared" si="6"/>
        <v>9.1370000000000005</v>
      </c>
      <c r="K26" s="20">
        <f t="shared" si="6"/>
        <v>-930.63799999999992</v>
      </c>
      <c r="L26" s="20">
        <f t="shared" si="6"/>
        <v>-64.70999999999998</v>
      </c>
      <c r="M26" s="20">
        <f t="shared" si="6"/>
        <v>-53.768000000000029</v>
      </c>
      <c r="N26" s="20">
        <f t="shared" si="6"/>
        <v>46.163000000000011</v>
      </c>
      <c r="O26" s="20">
        <f t="shared" si="6"/>
        <v>20.140800749999926</v>
      </c>
      <c r="P26" s="20">
        <f t="shared" si="6"/>
        <v>42.804908999999952</v>
      </c>
      <c r="Q26" s="20">
        <f t="shared" si="6"/>
        <v>61.909347499999967</v>
      </c>
      <c r="R26" s="20">
        <f t="shared" si="6"/>
        <v>79.386795124999935</v>
      </c>
      <c r="S26" s="20">
        <f t="shared" si="6"/>
        <v>84.355561874999921</v>
      </c>
      <c r="T26" s="20">
        <f t="shared" si="6"/>
        <v>106.29884699999991</v>
      </c>
      <c r="U26" s="20">
        <f t="shared" si="6"/>
        <v>131.13998624999988</v>
      </c>
      <c r="V26" s="20">
        <f t="shared" si="6"/>
        <v>158.14269899999999</v>
      </c>
      <c r="X26" s="20">
        <f>X14+X23</f>
        <v>-235.78500000000008</v>
      </c>
      <c r="Y26" s="20">
        <f>Y14+Y23</f>
        <v>-62.198999999999842</v>
      </c>
      <c r="Z26" s="20">
        <f>Z14+Z23</f>
        <v>-1039.9789999999998</v>
      </c>
      <c r="AA26" s="20">
        <f>O26+P26+Q26+R26</f>
        <v>204.24185237499978</v>
      </c>
      <c r="AB26" s="20">
        <f>S26+T26+U26+V26</f>
        <v>479.9370941249997</v>
      </c>
      <c r="AC26" s="20">
        <f>AC14+AC23</f>
        <v>662.88045599999987</v>
      </c>
      <c r="AD26" s="20">
        <f>AD14+AD23</f>
        <v>977.84879587499927</v>
      </c>
      <c r="AE26" s="20">
        <f>AE14+AE23</f>
        <v>1379.2209770700001</v>
      </c>
    </row>
    <row r="27" spans="1:31" x14ac:dyDescent="0.2">
      <c r="D27" s="9" t="s">
        <v>33</v>
      </c>
      <c r="G27" s="21">
        <f>G26-_reported!G11</f>
        <v>2.6645352591003757E-14</v>
      </c>
      <c r="H27" s="21">
        <f>H26-_reported!H11</f>
        <v>0</v>
      </c>
      <c r="I27" s="21">
        <f>I26-_reported!I11</f>
        <v>0</v>
      </c>
      <c r="J27" s="21">
        <f>J26-_reported!J11</f>
        <v>0</v>
      </c>
      <c r="K27" s="21">
        <f>K26-_reported!K11</f>
        <v>0</v>
      </c>
      <c r="L27" s="21">
        <f>L26-_reported!L11</f>
        <v>0</v>
      </c>
      <c r="M27" s="21">
        <f>M26-_reported!M11</f>
        <v>0</v>
      </c>
      <c r="N27" s="21">
        <f>N26-_reported!N11</f>
        <v>0</v>
      </c>
      <c r="X27" s="21">
        <f>X26-_reported!X11</f>
        <v>0</v>
      </c>
      <c r="Y27" s="21">
        <f>Y26-_reported!Y11</f>
        <v>1.5631940186722204E-13</v>
      </c>
      <c r="Z27" s="21">
        <f>Z26-_reported!Z11</f>
        <v>0</v>
      </c>
    </row>
    <row r="29" spans="1:31" x14ac:dyDescent="0.2">
      <c r="C29" s="9" t="s">
        <v>42</v>
      </c>
      <c r="G29" s="22">
        <f t="shared" ref="G29:V29" si="7">G184</f>
        <v>6.117</v>
      </c>
      <c r="H29" s="22">
        <f t="shared" si="7"/>
        <v>6.8970000000000002</v>
      </c>
      <c r="I29" s="22">
        <f t="shared" si="7"/>
        <v>7.1219999999999999</v>
      </c>
      <c r="J29" s="22">
        <f t="shared" si="7"/>
        <v>7.258</v>
      </c>
      <c r="K29" s="22">
        <f t="shared" si="7"/>
        <v>7.4109999999999996</v>
      </c>
      <c r="L29" s="22">
        <f t="shared" si="7"/>
        <v>7.5140000000000002</v>
      </c>
      <c r="M29" s="22">
        <f t="shared" si="7"/>
        <v>7.8170000000000002</v>
      </c>
      <c r="N29" s="22">
        <f t="shared" si="7"/>
        <v>7.665</v>
      </c>
      <c r="O29" s="47">
        <f t="shared" si="7"/>
        <v>4.1560382499999999</v>
      </c>
      <c r="P29" s="47">
        <f t="shared" si="7"/>
        <v>4.3136729999999996</v>
      </c>
      <c r="Q29" s="47">
        <f t="shared" si="7"/>
        <v>4.6521474999999999</v>
      </c>
      <c r="R29" s="47">
        <f t="shared" si="7"/>
        <v>4.9379346249999996</v>
      </c>
      <c r="S29" s="47">
        <f t="shared" si="7"/>
        <v>4.9620918749999996</v>
      </c>
      <c r="T29" s="47">
        <f t="shared" si="7"/>
        <v>5.1371190000000002</v>
      </c>
      <c r="U29" s="47">
        <f t="shared" si="7"/>
        <v>5.5172162499999988</v>
      </c>
      <c r="V29" s="47">
        <f t="shared" si="7"/>
        <v>5.8571369999999998</v>
      </c>
      <c r="X29" s="22">
        <f>X184</f>
        <v>12.936999999999999</v>
      </c>
      <c r="Y29" s="22">
        <f>Y184</f>
        <v>25.37</v>
      </c>
      <c r="Z29" s="22">
        <f>Z184</f>
        <v>30</v>
      </c>
      <c r="AA29" s="29">
        <f>O29+P29+Q29+R29</f>
        <v>18.059793374999998</v>
      </c>
      <c r="AB29" s="29">
        <f>S29+T29+U29+V29</f>
        <v>21.473564124999999</v>
      </c>
      <c r="AC29" s="47">
        <f>AC184</f>
        <v>24.138503999999998</v>
      </c>
      <c r="AD29" s="47">
        <f>AD184</f>
        <v>28.695337124999991</v>
      </c>
      <c r="AE29" s="47">
        <f>AE184</f>
        <v>33.766238610000002</v>
      </c>
    </row>
    <row r="30" spans="1:31" x14ac:dyDescent="0.2">
      <c r="A30" s="1" t="s">
        <v>29</v>
      </c>
      <c r="B30" s="2" t="s">
        <v>43</v>
      </c>
      <c r="G30" s="20">
        <f t="shared" ref="G30:V30" si="8">G26+G29</f>
        <v>-3.3239999999999741</v>
      </c>
      <c r="H30" s="20">
        <f t="shared" si="8"/>
        <v>-23.747000000000007</v>
      </c>
      <c r="I30" s="20">
        <f t="shared" si="8"/>
        <v>-20.024000000000015</v>
      </c>
      <c r="J30" s="20">
        <f t="shared" si="8"/>
        <v>16.395</v>
      </c>
      <c r="K30" s="20">
        <f t="shared" si="8"/>
        <v>-923.22699999999998</v>
      </c>
      <c r="L30" s="20">
        <f t="shared" si="8"/>
        <v>-57.195999999999977</v>
      </c>
      <c r="M30" s="20">
        <f t="shared" si="8"/>
        <v>-45.951000000000029</v>
      </c>
      <c r="N30" s="20">
        <f t="shared" si="8"/>
        <v>53.82800000000001</v>
      </c>
      <c r="O30" s="20">
        <f t="shared" si="8"/>
        <v>24.296838999999927</v>
      </c>
      <c r="P30" s="20">
        <f t="shared" si="8"/>
        <v>47.118581999999954</v>
      </c>
      <c r="Q30" s="20">
        <f t="shared" si="8"/>
        <v>66.561494999999965</v>
      </c>
      <c r="R30" s="20">
        <f t="shared" si="8"/>
        <v>84.324729749999932</v>
      </c>
      <c r="S30" s="20">
        <f t="shared" si="8"/>
        <v>89.31765374999992</v>
      </c>
      <c r="T30" s="20">
        <f t="shared" si="8"/>
        <v>111.43596599999991</v>
      </c>
      <c r="U30" s="20">
        <f t="shared" si="8"/>
        <v>136.65720249999987</v>
      </c>
      <c r="V30" s="20">
        <f t="shared" si="8"/>
        <v>163.99983599999999</v>
      </c>
      <c r="X30" s="20">
        <f>X26+X29</f>
        <v>-222.84800000000007</v>
      </c>
      <c r="Y30" s="20">
        <f>Y26+Y29</f>
        <v>-36.828999999999837</v>
      </c>
      <c r="Z30" s="20">
        <f>Z26+Z29</f>
        <v>-1009.9789999999998</v>
      </c>
      <c r="AA30" s="20">
        <f>O30+P30+Q30+R30</f>
        <v>222.30164574999978</v>
      </c>
      <c r="AB30" s="20">
        <f>S30+T30+U30+V30</f>
        <v>501.41065824999964</v>
      </c>
      <c r="AC30" s="20">
        <f>AC26+AC29</f>
        <v>687.01895999999988</v>
      </c>
      <c r="AD30" s="20">
        <f>AD26+AD29</f>
        <v>1006.5441329999993</v>
      </c>
      <c r="AE30" s="20">
        <f>AE26+AE29</f>
        <v>1412.9872156800002</v>
      </c>
    </row>
    <row r="32" spans="1:31" x14ac:dyDescent="0.2">
      <c r="D32" s="19" t="s">
        <v>44</v>
      </c>
      <c r="G32" s="10">
        <v>9.9039999999999999</v>
      </c>
      <c r="H32" s="10">
        <v>10.817</v>
      </c>
      <c r="I32" s="10">
        <v>8.2349999999999994</v>
      </c>
      <c r="J32" s="10">
        <v>5.3540000000000001</v>
      </c>
      <c r="K32" s="10">
        <v>6.2149999999999999</v>
      </c>
      <c r="L32" s="10">
        <v>10.268000000000001</v>
      </c>
      <c r="M32" s="10">
        <v>9.0370000000000008</v>
      </c>
      <c r="N32" s="10">
        <v>7.7480000000000002</v>
      </c>
      <c r="O32" s="10">
        <v>9</v>
      </c>
      <c r="P32" s="10">
        <v>9</v>
      </c>
      <c r="Q32" s="10">
        <v>10</v>
      </c>
      <c r="R32" s="10">
        <v>10</v>
      </c>
      <c r="S32" s="10">
        <v>11</v>
      </c>
      <c r="T32" s="10">
        <v>11</v>
      </c>
      <c r="U32" s="10">
        <v>11</v>
      </c>
      <c r="V32" s="10">
        <v>12</v>
      </c>
      <c r="X32" s="10">
        <v>32.817</v>
      </c>
      <c r="Y32" s="10">
        <v>39.465000000000003</v>
      </c>
      <c r="Z32" s="10">
        <v>30.873999999999999</v>
      </c>
      <c r="AA32" s="29">
        <f>O32+P32+Q32+R32</f>
        <v>38</v>
      </c>
      <c r="AB32" s="29">
        <f>S32+T32+U32+V32</f>
        <v>45</v>
      </c>
      <c r="AC32" s="10">
        <v>50</v>
      </c>
      <c r="AD32" s="10">
        <v>56</v>
      </c>
      <c r="AE32" s="10">
        <v>62</v>
      </c>
    </row>
    <row r="33" spans="1:31" x14ac:dyDescent="0.2">
      <c r="C33" s="2" t="s">
        <v>45</v>
      </c>
      <c r="G33" s="20">
        <f t="shared" ref="G33:V33" si="9">G26+G32</f>
        <v>0.46300000000002584</v>
      </c>
      <c r="H33" s="20">
        <f t="shared" si="9"/>
        <v>-19.827000000000005</v>
      </c>
      <c r="I33" s="20">
        <f t="shared" si="9"/>
        <v>-18.911000000000016</v>
      </c>
      <c r="J33" s="20">
        <f t="shared" si="9"/>
        <v>14.491</v>
      </c>
      <c r="K33" s="20">
        <f t="shared" si="9"/>
        <v>-924.42299999999989</v>
      </c>
      <c r="L33" s="20">
        <f t="shared" si="9"/>
        <v>-54.441999999999979</v>
      </c>
      <c r="M33" s="20">
        <f t="shared" si="9"/>
        <v>-44.73100000000003</v>
      </c>
      <c r="N33" s="20">
        <f t="shared" si="9"/>
        <v>53.911000000000008</v>
      </c>
      <c r="O33" s="20">
        <f t="shared" si="9"/>
        <v>29.140800749999926</v>
      </c>
      <c r="P33" s="20">
        <f t="shared" si="9"/>
        <v>51.804908999999952</v>
      </c>
      <c r="Q33" s="20">
        <f t="shared" si="9"/>
        <v>71.909347499999967</v>
      </c>
      <c r="R33" s="20">
        <f t="shared" si="9"/>
        <v>89.386795124999935</v>
      </c>
      <c r="S33" s="20">
        <f t="shared" si="9"/>
        <v>95.355561874999921</v>
      </c>
      <c r="T33" s="20">
        <f t="shared" si="9"/>
        <v>117.29884699999991</v>
      </c>
      <c r="U33" s="20">
        <f t="shared" si="9"/>
        <v>142.13998624999988</v>
      </c>
      <c r="V33" s="20">
        <f t="shared" si="9"/>
        <v>170.14269899999999</v>
      </c>
      <c r="X33" s="20">
        <f>X26+X32</f>
        <v>-202.96800000000007</v>
      </c>
      <c r="Y33" s="20">
        <f>Y26+Y32</f>
        <v>-22.733999999999838</v>
      </c>
      <c r="Z33" s="20">
        <f>Z26+Z32</f>
        <v>-1009.1049999999998</v>
      </c>
      <c r="AA33" s="20">
        <f>O33+P33+Q33+R33</f>
        <v>242.24185237499978</v>
      </c>
      <c r="AB33" s="20">
        <f>S33+T33+U33+V33</f>
        <v>524.9370941249997</v>
      </c>
      <c r="AC33" s="20">
        <f>AC26+AC32</f>
        <v>712.88045599999987</v>
      </c>
      <c r="AD33" s="20">
        <f>AD26+AD32</f>
        <v>1033.8487958749993</v>
      </c>
      <c r="AE33" s="20">
        <f>AE26+AE32</f>
        <v>1441.2209770700001</v>
      </c>
    </row>
    <row r="34" spans="1:31" x14ac:dyDescent="0.2">
      <c r="D34" s="9" t="s">
        <v>33</v>
      </c>
      <c r="G34" s="21">
        <f>G33-_reported!G12</f>
        <v>2.581268532253489E-14</v>
      </c>
      <c r="H34" s="21">
        <f>H33-_reported!H12</f>
        <v>0</v>
      </c>
      <c r="I34" s="21">
        <f>I33-_reported!I12</f>
        <v>0</v>
      </c>
      <c r="J34" s="21">
        <f>J33-_reported!J12</f>
        <v>0</v>
      </c>
      <c r="K34" s="21">
        <f>K33-_reported!K12</f>
        <v>0</v>
      </c>
      <c r="L34" s="21">
        <f>L33-_reported!L12</f>
        <v>0</v>
      </c>
      <c r="M34" s="21">
        <f>M33-_reported!M12</f>
        <v>0</v>
      </c>
      <c r="N34" s="21">
        <f>N33-_reported!N12</f>
        <v>0</v>
      </c>
      <c r="X34" s="21">
        <f>X33-_reported!X12</f>
        <v>0</v>
      </c>
      <c r="Y34" s="21">
        <f>Y33-_reported!Y12</f>
        <v>1.6342482922482304E-13</v>
      </c>
      <c r="Z34" s="21">
        <f>Z33-_reported!Z12</f>
        <v>0</v>
      </c>
    </row>
    <row r="36" spans="1:31" x14ac:dyDescent="0.2">
      <c r="D36" s="19" t="s">
        <v>46</v>
      </c>
      <c r="G36" s="10">
        <v>-7.8E-2</v>
      </c>
      <c r="H36" s="10">
        <v>-2.1989999999999998</v>
      </c>
      <c r="I36" s="10">
        <v>-0.69499999999999995</v>
      </c>
      <c r="J36" s="10">
        <v>-1.552</v>
      </c>
      <c r="K36" s="10">
        <v>1.0469999999999999</v>
      </c>
      <c r="L36" s="10">
        <v>-0.28000000000000003</v>
      </c>
      <c r="M36" s="10">
        <v>-4.5999999999999999E-2</v>
      </c>
      <c r="N36" s="10">
        <v>-0.45500000000000002</v>
      </c>
      <c r="O36" s="29">
        <f>-O33*0.02</f>
        <v>-0.58281601499999858</v>
      </c>
      <c r="P36" s="29">
        <f>-P33*0.05</f>
        <v>-2.5902454499999976</v>
      </c>
      <c r="Q36" s="29">
        <f>-Q33*0.08</f>
        <v>-5.7527477999999972</v>
      </c>
      <c r="R36" s="29">
        <f>-R33*0.1</f>
        <v>-8.9386795124999932</v>
      </c>
      <c r="S36" s="29">
        <f>-S33*0.15</f>
        <v>-14.303334281249988</v>
      </c>
      <c r="T36" s="29">
        <f>-T33*0.18</f>
        <v>-21.113792459999981</v>
      </c>
      <c r="U36" s="29">
        <f>-U33*0.2</f>
        <v>-28.427997249999976</v>
      </c>
      <c r="V36" s="29">
        <f>-V33*0.21</f>
        <v>-35.729966789999999</v>
      </c>
      <c r="X36" s="10">
        <v>-0.23400000000000001</v>
      </c>
      <c r="Y36" s="10">
        <v>-2.61</v>
      </c>
      <c r="Z36" s="10">
        <v>-0.83099999999999996</v>
      </c>
      <c r="AA36" s="29">
        <f>O36+P36+Q36+R36</f>
        <v>-17.864488777499986</v>
      </c>
      <c r="AB36" s="29">
        <f>S36+T36+U36+V36</f>
        <v>-99.575090781249941</v>
      </c>
      <c r="AC36" s="29">
        <f>-AC33*0.21</f>
        <v>-149.70489575999997</v>
      </c>
      <c r="AD36" s="29">
        <f>-AD33*0.21</f>
        <v>-217.10824713374984</v>
      </c>
      <c r="AE36" s="29">
        <f>-AE33*0.21</f>
        <v>-302.65640518470002</v>
      </c>
    </row>
    <row r="37" spans="1:31" x14ac:dyDescent="0.2">
      <c r="A37" s="1" t="s">
        <v>29</v>
      </c>
      <c r="B37" s="2" t="s">
        <v>47</v>
      </c>
      <c r="G37" s="20">
        <f t="shared" ref="G37:V37" si="10">G33+G36</f>
        <v>0.38500000000002582</v>
      </c>
      <c r="H37" s="20">
        <f t="shared" si="10"/>
        <v>-22.026000000000003</v>
      </c>
      <c r="I37" s="20">
        <f t="shared" si="10"/>
        <v>-19.606000000000016</v>
      </c>
      <c r="J37" s="20">
        <f t="shared" si="10"/>
        <v>12.939</v>
      </c>
      <c r="K37" s="20">
        <f t="shared" si="10"/>
        <v>-923.37599999999986</v>
      </c>
      <c r="L37" s="20">
        <f t="shared" si="10"/>
        <v>-54.72199999999998</v>
      </c>
      <c r="M37" s="20">
        <f t="shared" si="10"/>
        <v>-44.777000000000029</v>
      </c>
      <c r="N37" s="20">
        <f t="shared" si="10"/>
        <v>53.45600000000001</v>
      </c>
      <c r="O37" s="20">
        <f t="shared" si="10"/>
        <v>28.557984734999927</v>
      </c>
      <c r="P37" s="20">
        <f t="shared" si="10"/>
        <v>49.214663549999955</v>
      </c>
      <c r="Q37" s="20">
        <f t="shared" si="10"/>
        <v>66.156599699999973</v>
      </c>
      <c r="R37" s="20">
        <f t="shared" si="10"/>
        <v>80.448115612499947</v>
      </c>
      <c r="S37" s="20">
        <f t="shared" si="10"/>
        <v>81.052227593749933</v>
      </c>
      <c r="T37" s="20">
        <f t="shared" si="10"/>
        <v>96.185054539999925</v>
      </c>
      <c r="U37" s="20">
        <f t="shared" si="10"/>
        <v>113.7119889999999</v>
      </c>
      <c r="V37" s="20">
        <f t="shared" si="10"/>
        <v>134.41273221</v>
      </c>
      <c r="X37" s="20">
        <f>X33+X36</f>
        <v>-203.20200000000008</v>
      </c>
      <c r="Y37" s="20">
        <f>Y33+Y36</f>
        <v>-25.343999999999838</v>
      </c>
      <c r="Z37" s="20">
        <f>Z33+Z36</f>
        <v>-1009.9359999999998</v>
      </c>
      <c r="AA37" s="20">
        <f>O37+P37+Q37+R37</f>
        <v>224.37736359749979</v>
      </c>
      <c r="AB37" s="20">
        <f>S37+T37+U37+V37</f>
        <v>425.36200334374979</v>
      </c>
      <c r="AC37" s="20">
        <f>AC33+AC36</f>
        <v>563.17556023999987</v>
      </c>
      <c r="AD37" s="20">
        <f>AD33+AD36</f>
        <v>816.74054874124943</v>
      </c>
      <c r="AE37" s="20">
        <f>AE33+AE36</f>
        <v>1138.5645718853002</v>
      </c>
    </row>
    <row r="38" spans="1:31" x14ac:dyDescent="0.2">
      <c r="D38" s="9" t="s">
        <v>33</v>
      </c>
      <c r="G38" s="21">
        <f>G37-_reported!G13</f>
        <v>2.581268532253489E-14</v>
      </c>
      <c r="H38" s="21">
        <f>H37-_reported!H13</f>
        <v>0</v>
      </c>
      <c r="I38" s="21">
        <f>I37-_reported!I13</f>
        <v>0</v>
      </c>
      <c r="J38" s="21">
        <f>J37-_reported!J13</f>
        <v>0</v>
      </c>
      <c r="K38" s="21">
        <f>K37-_reported!K13</f>
        <v>0</v>
      </c>
      <c r="L38" s="21">
        <f>L37-_reported!L13</f>
        <v>0</v>
      </c>
      <c r="M38" s="21">
        <f>M37-_reported!M13</f>
        <v>0</v>
      </c>
      <c r="N38" s="21">
        <f>N37-_reported!N13</f>
        <v>0</v>
      </c>
      <c r="X38" s="21">
        <f>X37-_reported!X13</f>
        <v>0</v>
      </c>
      <c r="Y38" s="21">
        <f>Y37-_reported!Y13</f>
        <v>1.6342482922482304E-13</v>
      </c>
      <c r="Z38" s="21">
        <f>Z37-_reported!Z13</f>
        <v>0</v>
      </c>
    </row>
    <row r="41" spans="1:31" x14ac:dyDescent="0.2">
      <c r="C41" s="19" t="s">
        <v>48</v>
      </c>
      <c r="G41" s="6">
        <v>0</v>
      </c>
      <c r="H41" s="6">
        <v>-0.34</v>
      </c>
      <c r="I41" s="6">
        <v>-0.3</v>
      </c>
      <c r="J41" s="6">
        <v>0</v>
      </c>
      <c r="K41" s="6">
        <v>-7.29</v>
      </c>
      <c r="L41" s="6">
        <v>-0.15</v>
      </c>
      <c r="M41" s="6">
        <v>-0.12</v>
      </c>
      <c r="N41" s="6">
        <v>0.14000000000000001</v>
      </c>
      <c r="O41" s="35">
        <f t="shared" ref="O41:V41" si="11">O37/O43</f>
        <v>7.5979164742221772E-2</v>
      </c>
      <c r="P41" s="35">
        <f t="shared" si="11"/>
        <v>0.13093672625350514</v>
      </c>
      <c r="Q41" s="35">
        <f t="shared" si="11"/>
        <v>0.17601113082853989</v>
      </c>
      <c r="R41" s="35">
        <f t="shared" si="11"/>
        <v>0.21403403237456953</v>
      </c>
      <c r="S41" s="35">
        <f t="shared" si="11"/>
        <v>0.21564128597359147</v>
      </c>
      <c r="T41" s="35">
        <f t="shared" si="11"/>
        <v>0.25590251456636121</v>
      </c>
      <c r="U41" s="35">
        <f t="shared" si="11"/>
        <v>0.30253332038545627</v>
      </c>
      <c r="V41" s="35">
        <f t="shared" si="11"/>
        <v>0.35760811621694966</v>
      </c>
      <c r="X41" s="6">
        <v>-3.22</v>
      </c>
      <c r="Y41" s="6">
        <v>-0.39</v>
      </c>
      <c r="Z41" s="6">
        <v>-4.2699999999999996</v>
      </c>
      <c r="AA41" s="35">
        <f>AA37/AA43</f>
        <v>0.59696105419883627</v>
      </c>
      <c r="AB41" s="35">
        <f>AB37/AB43</f>
        <v>1.1316852371423587</v>
      </c>
      <c r="AC41" s="35">
        <f>AC37/AC43</f>
        <v>1.4983413244081665</v>
      </c>
      <c r="AD41" s="35">
        <f>AD37/AD43</f>
        <v>2.1729567152688709</v>
      </c>
      <c r="AE41" s="35">
        <f>AE37/AE43</f>
        <v>3.0291768127079872</v>
      </c>
    </row>
    <row r="42" spans="1:31" x14ac:dyDescent="0.2">
      <c r="C42" s="19" t="s">
        <v>49</v>
      </c>
      <c r="G42" s="6">
        <v>0</v>
      </c>
      <c r="H42" s="6">
        <v>-0.34</v>
      </c>
      <c r="I42" s="6">
        <v>-0.3</v>
      </c>
      <c r="J42" s="6">
        <v>0</v>
      </c>
      <c r="K42" s="6">
        <v>-7.29</v>
      </c>
      <c r="L42" s="6">
        <v>-0.15</v>
      </c>
      <c r="M42" s="6">
        <v>-0.12</v>
      </c>
      <c r="N42" s="6">
        <v>0.13</v>
      </c>
      <c r="O42" s="35">
        <f t="shared" ref="O42:V42" si="12">O37/O44</f>
        <v>7.5979164742221772E-2</v>
      </c>
      <c r="P42" s="35">
        <f t="shared" si="12"/>
        <v>0.13093672625350514</v>
      </c>
      <c r="Q42" s="35">
        <f t="shared" si="12"/>
        <v>0.17601113082853989</v>
      </c>
      <c r="R42" s="35">
        <f t="shared" si="12"/>
        <v>0.21403403237456953</v>
      </c>
      <c r="S42" s="35">
        <f t="shared" si="12"/>
        <v>0.21564128597359147</v>
      </c>
      <c r="T42" s="35">
        <f t="shared" si="12"/>
        <v>0.25590251456636121</v>
      </c>
      <c r="U42" s="35">
        <f t="shared" si="12"/>
        <v>0.30253332038545627</v>
      </c>
      <c r="V42" s="35">
        <f t="shared" si="12"/>
        <v>0.35760811621694966</v>
      </c>
      <c r="X42" s="6">
        <v>-3.22</v>
      </c>
      <c r="Y42" s="6">
        <v>-0.39</v>
      </c>
      <c r="Z42" s="6">
        <v>-4.2699999999999996</v>
      </c>
      <c r="AA42" s="35">
        <f>AA37/AA44</f>
        <v>0.59696105419883627</v>
      </c>
      <c r="AB42" s="35">
        <f>AB37/AB44</f>
        <v>1.1316852371423587</v>
      </c>
      <c r="AC42" s="35">
        <f>AC37/AC44</f>
        <v>1.4983413244081665</v>
      </c>
      <c r="AD42" s="35">
        <f>AD37/AD44</f>
        <v>2.1729567152688709</v>
      </c>
      <c r="AE42" s="35">
        <f>AE37/AE44</f>
        <v>3.0291768127079872</v>
      </c>
    </row>
    <row r="43" spans="1:31" x14ac:dyDescent="0.2">
      <c r="C43" s="19" t="s">
        <v>50</v>
      </c>
      <c r="G43" s="23">
        <v>64.677999999999997</v>
      </c>
      <c r="H43" s="23">
        <v>65.149000000000001</v>
      </c>
      <c r="I43" s="23">
        <v>65.364999999999995</v>
      </c>
      <c r="J43" s="23">
        <v>65.869</v>
      </c>
      <c r="K43" s="23">
        <v>126.62</v>
      </c>
      <c r="L43" s="23">
        <v>371.83</v>
      </c>
      <c r="M43" s="23">
        <v>375.86599999999999</v>
      </c>
      <c r="N43" s="23">
        <v>381.637</v>
      </c>
      <c r="O43" s="23">
        <v>375.86599999999999</v>
      </c>
      <c r="P43" s="23">
        <v>375.86599999999999</v>
      </c>
      <c r="Q43" s="23">
        <v>375.86599999999999</v>
      </c>
      <c r="R43" s="23">
        <v>375.86599999999999</v>
      </c>
      <c r="S43" s="23">
        <v>375.86599999999999</v>
      </c>
      <c r="T43" s="23">
        <v>375.86599999999999</v>
      </c>
      <c r="U43" s="23">
        <v>375.86599999999999</v>
      </c>
      <c r="V43" s="23">
        <v>375.86599999999999</v>
      </c>
      <c r="X43" s="23">
        <v>63.103999999999999</v>
      </c>
      <c r="Y43" s="23">
        <v>64.91</v>
      </c>
      <c r="Z43" s="23">
        <v>236.27</v>
      </c>
      <c r="AA43" s="23">
        <v>375.86599999999999</v>
      </c>
      <c r="AB43" s="23">
        <v>375.86599999999999</v>
      </c>
      <c r="AC43" s="23">
        <v>375.86599999999999</v>
      </c>
      <c r="AD43" s="23">
        <v>375.86599999999999</v>
      </c>
      <c r="AE43" s="23">
        <v>375.86599999999999</v>
      </c>
    </row>
    <row r="44" spans="1:31" x14ac:dyDescent="0.2">
      <c r="C44" s="19" t="s">
        <v>51</v>
      </c>
      <c r="G44" s="23">
        <v>64.677999999999997</v>
      </c>
      <c r="H44" s="23">
        <v>65.149000000000001</v>
      </c>
      <c r="I44" s="23">
        <v>65.364999999999995</v>
      </c>
      <c r="J44" s="23">
        <v>65.869</v>
      </c>
      <c r="K44" s="23">
        <v>126.62</v>
      </c>
      <c r="L44" s="23">
        <v>371.83</v>
      </c>
      <c r="M44" s="23">
        <v>375.86599999999999</v>
      </c>
      <c r="N44" s="23">
        <v>400.47699999999998</v>
      </c>
      <c r="O44" s="23">
        <v>375.86599999999999</v>
      </c>
      <c r="P44" s="23">
        <v>375.86599999999999</v>
      </c>
      <c r="Q44" s="23">
        <v>375.86599999999999</v>
      </c>
      <c r="R44" s="23">
        <v>375.86599999999999</v>
      </c>
      <c r="S44" s="23">
        <v>375.86599999999999</v>
      </c>
      <c r="T44" s="23">
        <v>375.86599999999999</v>
      </c>
      <c r="U44" s="23">
        <v>375.86599999999999</v>
      </c>
      <c r="V44" s="23">
        <v>375.86599999999999</v>
      </c>
      <c r="X44" s="23">
        <v>63.103999999999999</v>
      </c>
      <c r="Y44" s="23">
        <v>64.91</v>
      </c>
      <c r="Z44" s="23">
        <v>236.27</v>
      </c>
      <c r="AA44" s="23">
        <v>375.86599999999999</v>
      </c>
      <c r="AB44" s="23">
        <v>375.86599999999999</v>
      </c>
      <c r="AC44" s="23">
        <v>375.86599999999999</v>
      </c>
      <c r="AD44" s="23">
        <v>375.86599999999999</v>
      </c>
      <c r="AE44" s="23">
        <v>375.86599999999999</v>
      </c>
    </row>
    <row r="47" spans="1:31" ht="16" x14ac:dyDescent="0.2">
      <c r="B47" s="18" t="s">
        <v>52</v>
      </c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X47" s="18"/>
      <c r="Y47" s="18"/>
      <c r="Z47" s="18"/>
      <c r="AA47" s="18"/>
      <c r="AB47" s="18"/>
      <c r="AC47" s="18"/>
      <c r="AD47" s="18"/>
      <c r="AE47" s="18"/>
    </row>
    <row r="49" spans="4:31" x14ac:dyDescent="0.2">
      <c r="D49" s="19" t="s">
        <v>53</v>
      </c>
      <c r="G49" s="24" t="str">
        <f t="shared" ref="G49:N49" ca="1" si="13">IFERROR(G10/INDIRECT(ADDRESS(10,COLUMN()-4))-1,"")</f>
        <v/>
      </c>
      <c r="H49" s="24" t="str">
        <f t="shared" ca="1" si="13"/>
        <v/>
      </c>
      <c r="I49" s="24" t="str">
        <f t="shared" ca="1" si="13"/>
        <v/>
      </c>
      <c r="J49" s="24" t="str">
        <f t="shared" ca="1" si="13"/>
        <v/>
      </c>
      <c r="K49" s="24">
        <f t="shared" ca="1" si="13"/>
        <v>0.37462195547273125</v>
      </c>
      <c r="L49" s="24">
        <f t="shared" ca="1" si="13"/>
        <v>0.28835354883364817</v>
      </c>
      <c r="M49" s="24">
        <f t="shared" ca="1" si="13"/>
        <v>0.25493043104972091</v>
      </c>
      <c r="N49" s="24">
        <f t="shared" ca="1" si="13"/>
        <v>0.24798937433493196</v>
      </c>
      <c r="O49" s="24">
        <f t="shared" ref="O49:V49" si="14">IFERROR(O10/K10-1,"")</f>
        <v>0.21062522129171879</v>
      </c>
      <c r="P49" s="24">
        <f t="shared" si="14"/>
        <v>0.2210097531089068</v>
      </c>
      <c r="Q49" s="24">
        <f t="shared" si="14"/>
        <v>0.20014320257295126</v>
      </c>
      <c r="R49" s="24">
        <f t="shared" si="14"/>
        <v>0.17345922917821954</v>
      </c>
      <c r="S49" s="24">
        <f t="shared" si="14"/>
        <v>0.19394759540531181</v>
      </c>
      <c r="T49" s="24">
        <f t="shared" si="14"/>
        <v>0.19089207735495961</v>
      </c>
      <c r="U49" s="24">
        <f t="shared" si="14"/>
        <v>0.18595041322314021</v>
      </c>
      <c r="V49" s="24">
        <f t="shared" si="14"/>
        <v>0.18615118360340799</v>
      </c>
      <c r="X49" s="24">
        <f ca="1">IFERROR(X10/INDIRECT(ADDRESS(10,COLUMN()-4))-1,"")</f>
        <v>0.61762994005005512</v>
      </c>
      <c r="Y49" s="24">
        <f ca="1">IFERROR(Y10/INDIRECT(ADDRESS(10,COLUMN()-4))-1,"")</f>
        <v>0.97132901941264338</v>
      </c>
      <c r="Z49" s="24">
        <f ca="1">IFERROR(Z10/INDIRECT(ADDRESS(10,COLUMN()-4))-1,"")</f>
        <v>1.4267837682471827</v>
      </c>
      <c r="AA49" s="24">
        <f>IFERROR(AA10/Z10-1,"")</f>
        <v>0.27056331941630796</v>
      </c>
      <c r="AB49" s="24">
        <f>IFERROR(AB10/AA10-1,"")</f>
        <v>0.18902601370432337</v>
      </c>
      <c r="AC49" s="24">
        <f>IFERROR(AC10/AB10-1,"")</f>
        <v>0.12410328623078559</v>
      </c>
      <c r="AD49" s="24">
        <f>IFERROR(AD10/AC10-1,"")</f>
        <v>0.18877860554241432</v>
      </c>
      <c r="AE49" s="24">
        <f>IFERROR(AE10/AD10-1,"")</f>
        <v>0.17671517372005829</v>
      </c>
    </row>
    <row r="51" spans="4:31" x14ac:dyDescent="0.2">
      <c r="D51" s="19" t="s">
        <v>54</v>
      </c>
      <c r="G51" s="24">
        <f t="shared" ref="G51:V51" si="15">IFERROR(G14/G10,"")</f>
        <v>0.86855242130687582</v>
      </c>
      <c r="H51" s="24">
        <f t="shared" si="15"/>
        <v>0.87314605649594301</v>
      </c>
      <c r="I51" s="24">
        <f t="shared" si="15"/>
        <v>0.88206526771209481</v>
      </c>
      <c r="J51" s="24">
        <f t="shared" si="15"/>
        <v>0.88353021914470331</v>
      </c>
      <c r="K51" s="24">
        <f t="shared" si="15"/>
        <v>0.87291465097917442</v>
      </c>
      <c r="L51" s="24">
        <f t="shared" si="15"/>
        <v>0.87231173151260577</v>
      </c>
      <c r="M51" s="24">
        <f t="shared" si="15"/>
        <v>0.88914712303683363</v>
      </c>
      <c r="N51" s="24">
        <f t="shared" si="15"/>
        <v>0.89639272954198967</v>
      </c>
      <c r="O51" s="24">
        <f t="shared" si="15"/>
        <v>0.89200000000000002</v>
      </c>
      <c r="P51" s="24">
        <f t="shared" si="15"/>
        <v>0.89500000000000002</v>
      </c>
      <c r="Q51" s="24">
        <f t="shared" si="15"/>
        <v>0.89500000000000002</v>
      </c>
      <c r="R51" s="24">
        <f t="shared" si="15"/>
        <v>0.89499999999999991</v>
      </c>
      <c r="S51" s="24">
        <f t="shared" si="15"/>
        <v>0.89700000000000002</v>
      </c>
      <c r="T51" s="24">
        <f t="shared" si="15"/>
        <v>0.89800000000000002</v>
      </c>
      <c r="U51" s="24">
        <f t="shared" si="15"/>
        <v>0.89800000000000002</v>
      </c>
      <c r="V51" s="24">
        <f t="shared" si="15"/>
        <v>0.89999999999999991</v>
      </c>
      <c r="X51" s="24">
        <f t="shared" ref="X51:AE51" si="16">IFERROR(X14/X10,"")</f>
        <v>0.82812300784931803</v>
      </c>
      <c r="Y51" s="24">
        <f t="shared" si="16"/>
        <v>0.87598467431118365</v>
      </c>
      <c r="Z51" s="24">
        <f t="shared" si="16"/>
        <v>0.8797098002990712</v>
      </c>
      <c r="AA51" s="24">
        <f t="shared" si="16"/>
        <v>0.89430962029901973</v>
      </c>
      <c r="AB51" s="24">
        <f t="shared" si="16"/>
        <v>0.89831444161228635</v>
      </c>
      <c r="AC51" s="24">
        <f t="shared" si="16"/>
        <v>0.89999999999999991</v>
      </c>
      <c r="AD51" s="24">
        <f t="shared" si="16"/>
        <v>0.90199999999999991</v>
      </c>
      <c r="AE51" s="24">
        <f t="shared" si="16"/>
        <v>0.90500000000000003</v>
      </c>
    </row>
    <row r="52" spans="4:31" x14ac:dyDescent="0.2">
      <c r="D52" s="19" t="s">
        <v>55</v>
      </c>
      <c r="G52" s="24">
        <f t="shared" ref="G52:V52" si="17">IFERROR(-G12/G10,"")</f>
        <v>0.13144757869312415</v>
      </c>
      <c r="H52" s="24">
        <f t="shared" si="17"/>
        <v>0.12685394350405693</v>
      </c>
      <c r="I52" s="24">
        <f t="shared" si="17"/>
        <v>0.11793473228790519</v>
      </c>
      <c r="J52" s="24">
        <f t="shared" si="17"/>
        <v>0.11646978085529663</v>
      </c>
      <c r="K52" s="24">
        <f t="shared" si="17"/>
        <v>0.12708534902082558</v>
      </c>
      <c r="L52" s="24">
        <f t="shared" si="17"/>
        <v>0.12768826848739417</v>
      </c>
      <c r="M52" s="24">
        <f t="shared" si="17"/>
        <v>0.11085287696316644</v>
      </c>
      <c r="N52" s="24">
        <f t="shared" si="17"/>
        <v>0.10360727045801044</v>
      </c>
      <c r="O52" s="24">
        <f t="shared" si="17"/>
        <v>0.10800000000000001</v>
      </c>
      <c r="P52" s="24">
        <f t="shared" si="17"/>
        <v>0.105</v>
      </c>
      <c r="Q52" s="24">
        <f t="shared" si="17"/>
        <v>0.105</v>
      </c>
      <c r="R52" s="24">
        <f t="shared" si="17"/>
        <v>0.105</v>
      </c>
      <c r="S52" s="24">
        <f t="shared" si="17"/>
        <v>0.10299999999999999</v>
      </c>
      <c r="T52" s="24">
        <f t="shared" si="17"/>
        <v>0.10200000000000001</v>
      </c>
      <c r="U52" s="24">
        <f t="shared" si="17"/>
        <v>0.10199999999999999</v>
      </c>
      <c r="V52" s="24">
        <f t="shared" si="17"/>
        <v>0.1</v>
      </c>
      <c r="X52" s="24">
        <f t="shared" ref="X52:AE52" si="18">IFERROR(-X12/X10,"")</f>
        <v>0.17187699215068189</v>
      </c>
      <c r="Y52" s="24">
        <f t="shared" si="18"/>
        <v>0.12401532568881632</v>
      </c>
      <c r="Z52" s="24">
        <f t="shared" si="18"/>
        <v>0.12029019970092877</v>
      </c>
      <c r="AA52" s="24">
        <f t="shared" si="18"/>
        <v>0.10569037970098039</v>
      </c>
      <c r="AB52" s="24">
        <f t="shared" si="18"/>
        <v>0.10168555838771363</v>
      </c>
      <c r="AC52" s="24">
        <f t="shared" si="18"/>
        <v>0.1</v>
      </c>
      <c r="AD52" s="24">
        <f t="shared" si="18"/>
        <v>9.8000000000000004E-2</v>
      </c>
      <c r="AE52" s="24">
        <f t="shared" si="18"/>
        <v>9.5000000000000001E-2</v>
      </c>
    </row>
    <row r="54" spans="4:31" x14ac:dyDescent="0.2">
      <c r="D54" s="19" t="s">
        <v>56</v>
      </c>
      <c r="G54" s="24">
        <f t="shared" ref="G54:V54" si="19">IFERROR(-G17/G10,"")</f>
        <v>9.1095066811724718E-2</v>
      </c>
      <c r="H54" s="24">
        <f t="shared" si="19"/>
        <v>0.13074849894873078</v>
      </c>
      <c r="I54" s="24">
        <f t="shared" si="19"/>
        <v>0.19673324747691556</v>
      </c>
      <c r="J54" s="24">
        <f t="shared" si="19"/>
        <v>0.21040243357031599</v>
      </c>
      <c r="K54" s="24">
        <f t="shared" si="19"/>
        <v>0.1860213689697415</v>
      </c>
      <c r="L54" s="24">
        <f t="shared" si="19"/>
        <v>0.17856413483245295</v>
      </c>
      <c r="M54" s="24">
        <f t="shared" si="19"/>
        <v>0.1725104718977527</v>
      </c>
      <c r="N54" s="24">
        <f t="shared" si="19"/>
        <v>0.1373289855990312</v>
      </c>
      <c r="O54" s="24">
        <f t="shared" si="19"/>
        <v>0.14199999999999999</v>
      </c>
      <c r="P54" s="24">
        <f t="shared" si="19"/>
        <v>0.13700000000000001</v>
      </c>
      <c r="Q54" s="24">
        <f t="shared" si="19"/>
        <v>0.13200000000000001</v>
      </c>
      <c r="R54" s="24">
        <f t="shared" si="19"/>
        <v>0.13200000000000001</v>
      </c>
      <c r="S54" s="24">
        <f t="shared" si="19"/>
        <v>0.127</v>
      </c>
      <c r="T54" s="24">
        <f t="shared" si="19"/>
        <v>0.12199999999999998</v>
      </c>
      <c r="U54" s="24">
        <f t="shared" si="19"/>
        <v>0.11799999999999999</v>
      </c>
      <c r="V54" s="24">
        <f t="shared" si="19"/>
        <v>0.11500000000000002</v>
      </c>
      <c r="X54" s="24">
        <f t="shared" ref="X54:AE54" si="20">IFERROR(-X17/X10,"")</f>
        <v>0.11918683097958083</v>
      </c>
      <c r="Y54" s="24">
        <f t="shared" si="20"/>
        <v>0.1312920994771313</v>
      </c>
      <c r="Z54" s="24">
        <f t="shared" si="20"/>
        <v>0.18626695994549036</v>
      </c>
      <c r="AA54" s="24">
        <f t="shared" si="20"/>
        <v>0.1354955409615809</v>
      </c>
      <c r="AB54" s="24">
        <f t="shared" si="20"/>
        <v>0.12021835050752201</v>
      </c>
      <c r="AC54" s="24">
        <f t="shared" si="20"/>
        <v>0.115</v>
      </c>
      <c r="AD54" s="24">
        <f t="shared" si="20"/>
        <v>0.108</v>
      </c>
      <c r="AE54" s="24">
        <f t="shared" si="20"/>
        <v>9.9999999999999992E-2</v>
      </c>
    </row>
    <row r="55" spans="4:31" x14ac:dyDescent="0.2">
      <c r="D55" s="19" t="s">
        <v>57</v>
      </c>
      <c r="G55" s="24">
        <f t="shared" ref="G55:V55" si="21">IFERROR(-G18/G10,"")</f>
        <v>0.18172424742461232</v>
      </c>
      <c r="H55" s="24">
        <f t="shared" si="21"/>
        <v>0.16605550037807768</v>
      </c>
      <c r="I55" s="24">
        <f t="shared" si="21"/>
        <v>0.16605851704081545</v>
      </c>
      <c r="J55" s="24">
        <f t="shared" si="21"/>
        <v>0.15153717440587264</v>
      </c>
      <c r="K55" s="24">
        <f t="shared" si="21"/>
        <v>0.38454489168776235</v>
      </c>
      <c r="L55" s="24">
        <f t="shared" si="21"/>
        <v>0.15391918221810094</v>
      </c>
      <c r="M55" s="24">
        <f t="shared" si="21"/>
        <v>0.15529933362175072</v>
      </c>
      <c r="N55" s="24">
        <f t="shared" si="21"/>
        <v>0.1473600798286033</v>
      </c>
      <c r="O55" s="24">
        <f t="shared" si="21"/>
        <v>0.152</v>
      </c>
      <c r="P55" s="24">
        <f t="shared" si="21"/>
        <v>0.14699999999999999</v>
      </c>
      <c r="Q55" s="24">
        <f t="shared" si="21"/>
        <v>0.14499999999999999</v>
      </c>
      <c r="R55" s="24">
        <f t="shared" si="21"/>
        <v>0.14199999999999999</v>
      </c>
      <c r="S55" s="24">
        <f t="shared" si="21"/>
        <v>0.14000000000000001</v>
      </c>
      <c r="T55" s="24">
        <f t="shared" si="21"/>
        <v>0.13500000000000001</v>
      </c>
      <c r="U55" s="24">
        <f t="shared" si="21"/>
        <v>0.13200000000000001</v>
      </c>
      <c r="V55" s="24">
        <f t="shared" si="21"/>
        <v>0.128</v>
      </c>
      <c r="X55" s="24">
        <f t="shared" ref="X55:AE55" si="22">IFERROR(-X18/X10,"")</f>
        <v>0.21334736068144752</v>
      </c>
      <c r="Y55" s="24">
        <f t="shared" si="22"/>
        <v>0.17143447945309451</v>
      </c>
      <c r="Z55" s="24">
        <f t="shared" si="22"/>
        <v>0.20943126163245335</v>
      </c>
      <c r="AA55" s="24">
        <f t="shared" si="22"/>
        <v>0.14626833177984794</v>
      </c>
      <c r="AB55" s="24">
        <f t="shared" si="22"/>
        <v>0.13347528113244686</v>
      </c>
      <c r="AC55" s="24">
        <f t="shared" si="22"/>
        <v>0.128</v>
      </c>
      <c r="AD55" s="24">
        <f t="shared" si="22"/>
        <v>0.12</v>
      </c>
      <c r="AE55" s="24">
        <f t="shared" si="22"/>
        <v>0.11199999999999999</v>
      </c>
    </row>
    <row r="56" spans="4:31" x14ac:dyDescent="0.2">
      <c r="D56" s="19" t="s">
        <v>58</v>
      </c>
      <c r="G56" s="24">
        <f t="shared" ref="G56:V56" si="23">IFERROR(-G19/G10,"")</f>
        <v>0.30717516800533035</v>
      </c>
      <c r="H56" s="24">
        <f t="shared" si="23"/>
        <v>0.33925773518445212</v>
      </c>
      <c r="I56" s="24">
        <f t="shared" si="23"/>
        <v>0.29790703938452728</v>
      </c>
      <c r="J56" s="24">
        <f t="shared" si="23"/>
        <v>0.25556536557531268</v>
      </c>
      <c r="K56" s="24">
        <f t="shared" si="23"/>
        <v>0.35029130037167544</v>
      </c>
      <c r="L56" s="24">
        <f t="shared" si="23"/>
        <v>0.2826175349895772</v>
      </c>
      <c r="M56" s="24">
        <f t="shared" si="23"/>
        <v>0.27533293759788585</v>
      </c>
      <c r="N56" s="24">
        <f t="shared" si="23"/>
        <v>0.25553648744877488</v>
      </c>
      <c r="O56" s="24">
        <f t="shared" si="23"/>
        <v>0.27500000000000002</v>
      </c>
      <c r="P56" s="24">
        <f t="shared" si="23"/>
        <v>0.26500000000000001</v>
      </c>
      <c r="Q56" s="24">
        <f t="shared" si="23"/>
        <v>0.26</v>
      </c>
      <c r="R56" s="24">
        <f t="shared" si="23"/>
        <v>0.255</v>
      </c>
      <c r="S56" s="24">
        <f t="shared" si="23"/>
        <v>0.26500000000000001</v>
      </c>
      <c r="T56" s="24">
        <f t="shared" si="23"/>
        <v>0.26</v>
      </c>
      <c r="U56" s="24">
        <f t="shared" si="23"/>
        <v>0.255</v>
      </c>
      <c r="V56" s="24">
        <f t="shared" si="23"/>
        <v>0.25</v>
      </c>
      <c r="X56" s="24">
        <f t="shared" ref="X56:AE56" si="24">IFERROR(-X19/X10,"")</f>
        <v>0.3471424492844879</v>
      </c>
      <c r="Y56" s="24">
        <f t="shared" si="24"/>
        <v>0.31062548819107982</v>
      </c>
      <c r="Z56" s="24">
        <f t="shared" si="24"/>
        <v>0.29055822057189373</v>
      </c>
      <c r="AA56" s="24">
        <f t="shared" si="24"/>
        <v>0.26327906662027362</v>
      </c>
      <c r="AB56" s="24">
        <f t="shared" si="24"/>
        <v>0.25714313881394391</v>
      </c>
      <c r="AC56" s="24">
        <f t="shared" si="24"/>
        <v>0.245</v>
      </c>
      <c r="AD56" s="24">
        <f t="shared" si="24"/>
        <v>0.23499999999999999</v>
      </c>
      <c r="AE56" s="24">
        <f t="shared" si="24"/>
        <v>0.22500000000000001</v>
      </c>
    </row>
    <row r="57" spans="4:31" x14ac:dyDescent="0.2">
      <c r="D57" s="19" t="s">
        <v>59</v>
      </c>
      <c r="G57" s="24">
        <f t="shared" ref="G57:V57" si="25">IFERROR(-G20/G10,"")</f>
        <v>0.19616932230475723</v>
      </c>
      <c r="H57" s="24">
        <f t="shared" si="25"/>
        <v>0.19057958475458139</v>
      </c>
      <c r="I57" s="24">
        <f t="shared" si="25"/>
        <v>0.16597644840618503</v>
      </c>
      <c r="J57" s="24">
        <f t="shared" si="25"/>
        <v>0.15013571241305923</v>
      </c>
      <c r="K57" s="24">
        <f t="shared" si="25"/>
        <v>1.1772321825848389</v>
      </c>
      <c r="L57" s="24">
        <f t="shared" si="25"/>
        <v>0.22803618640746687</v>
      </c>
      <c r="M57" s="24">
        <f t="shared" si="25"/>
        <v>0.18671167318959417</v>
      </c>
      <c r="N57" s="24">
        <f t="shared" si="25"/>
        <v>0.16957399515282207</v>
      </c>
      <c r="O57" s="24">
        <f t="shared" si="25"/>
        <v>0.17499999999999999</v>
      </c>
      <c r="P57" s="24">
        <f t="shared" si="25"/>
        <v>0.17</v>
      </c>
      <c r="Q57" s="24">
        <f t="shared" si="25"/>
        <v>0.16500000000000001</v>
      </c>
      <c r="R57" s="24">
        <f t="shared" si="25"/>
        <v>0.16</v>
      </c>
      <c r="S57" s="24">
        <f t="shared" si="25"/>
        <v>0.158</v>
      </c>
      <c r="T57" s="24">
        <f t="shared" si="25"/>
        <v>0.155</v>
      </c>
      <c r="U57" s="24">
        <f t="shared" si="25"/>
        <v>0.15</v>
      </c>
      <c r="V57" s="24">
        <f t="shared" si="25"/>
        <v>0.14699999999999999</v>
      </c>
      <c r="X57" s="24">
        <f t="shared" ref="X57:AE57" si="26">IFERROR(-X20/X10,"")</f>
        <v>0.20258906257944159</v>
      </c>
      <c r="Y57" s="24">
        <f t="shared" si="26"/>
        <v>0.18501209309441577</v>
      </c>
      <c r="Z57" s="24">
        <f t="shared" si="26"/>
        <v>0.42753696090581084</v>
      </c>
      <c r="AA57" s="24">
        <f t="shared" si="26"/>
        <v>0.16712843378530629</v>
      </c>
      <c r="AB57" s="24">
        <f t="shared" si="26"/>
        <v>0.15222650132608109</v>
      </c>
      <c r="AC57" s="24">
        <f t="shared" si="26"/>
        <v>0.14699999999999999</v>
      </c>
      <c r="AD57" s="24">
        <f t="shared" si="26"/>
        <v>0.13800000000000001</v>
      </c>
      <c r="AE57" s="24">
        <f t="shared" si="26"/>
        <v>0.128</v>
      </c>
    </row>
    <row r="58" spans="4:31" x14ac:dyDescent="0.2">
      <c r="D58" s="19" t="s">
        <v>60</v>
      </c>
      <c r="G58" s="24">
        <f t="shared" ref="G58:V58" si="27">IFERROR(-G21/G10,"")</f>
        <v>0.10837189691161696</v>
      </c>
      <c r="H58" s="24">
        <f t="shared" si="27"/>
        <v>0.11056697426464489</v>
      </c>
      <c r="I58" s="24">
        <f t="shared" si="27"/>
        <v>0.10457227511089788</v>
      </c>
      <c r="J58" s="24">
        <f t="shared" si="27"/>
        <v>9.0936955415387932E-2</v>
      </c>
      <c r="K58" s="24">
        <f t="shared" si="27"/>
        <v>0.52952291872180002</v>
      </c>
      <c r="L58" s="24">
        <f t="shared" si="27"/>
        <v>0.14088743907756676</v>
      </c>
      <c r="M58" s="24">
        <f t="shared" si="27"/>
        <v>0.18226971047592219</v>
      </c>
      <c r="N58" s="24">
        <f t="shared" si="27"/>
        <v>0.10884833955578349</v>
      </c>
      <c r="O58" s="24">
        <f t="shared" si="27"/>
        <v>0.11</v>
      </c>
      <c r="P58" s="24">
        <f t="shared" si="27"/>
        <v>0.105</v>
      </c>
      <c r="Q58" s="24">
        <f t="shared" si="27"/>
        <v>9.9999999999999992E-2</v>
      </c>
      <c r="R58" s="24">
        <f t="shared" si="27"/>
        <v>9.5000000000000015E-2</v>
      </c>
      <c r="S58" s="24">
        <f t="shared" si="27"/>
        <v>0.09</v>
      </c>
      <c r="T58" s="24">
        <f t="shared" si="27"/>
        <v>8.5000000000000006E-2</v>
      </c>
      <c r="U58" s="24">
        <f t="shared" si="27"/>
        <v>8.2000000000000003E-2</v>
      </c>
      <c r="V58" s="24">
        <f t="shared" si="27"/>
        <v>7.8E-2</v>
      </c>
      <c r="X58" s="24">
        <f t="shared" ref="X58:AE58" si="28">IFERROR(-X21/X10,"")</f>
        <v>0.12119706990077868</v>
      </c>
      <c r="Y58" s="24">
        <f t="shared" si="28"/>
        <v>0.10591781715910592</v>
      </c>
      <c r="Z58" s="24">
        <f t="shared" si="28"/>
        <v>0.23418695153125388</v>
      </c>
      <c r="AA58" s="24">
        <f t="shared" si="28"/>
        <v>0.10212843378530626</v>
      </c>
      <c r="AB58" s="24">
        <f t="shared" si="28"/>
        <v>8.3475281132446857E-2</v>
      </c>
      <c r="AC58" s="24">
        <f t="shared" si="28"/>
        <v>0.08</v>
      </c>
      <c r="AD58" s="24">
        <f t="shared" si="28"/>
        <v>7.2999999999999995E-2</v>
      </c>
      <c r="AE58" s="24">
        <f t="shared" si="28"/>
        <v>6.8000000000000005E-2</v>
      </c>
    </row>
    <row r="59" spans="4:31" x14ac:dyDescent="0.2">
      <c r="D59" s="19" t="s">
        <v>61</v>
      </c>
      <c r="G59" s="24">
        <f t="shared" ref="G59:V59" si="29">IFERROR(-G22/G10,"")</f>
        <v>8.5889634422483298E-3</v>
      </c>
      <c r="H59" s="24">
        <f t="shared" si="29"/>
        <v>8.5760813139561624E-3</v>
      </c>
      <c r="I59" s="24">
        <f t="shared" si="29"/>
        <v>7.9417186434686E-3</v>
      </c>
      <c r="J59" s="24">
        <f t="shared" si="29"/>
        <v>7.3388800641549581E-3</v>
      </c>
      <c r="K59" s="24">
        <f t="shared" si="29"/>
        <v>7.3767061946534021E-3</v>
      </c>
      <c r="L59" s="24">
        <f t="shared" si="29"/>
        <v>7.3447294390812465E-3</v>
      </c>
      <c r="M59" s="24">
        <f t="shared" si="29"/>
        <v>7.1836044791886754E-3</v>
      </c>
      <c r="N59" s="24">
        <f t="shared" si="29"/>
        <v>6.4381892129437273E-3</v>
      </c>
      <c r="O59" s="24">
        <f t="shared" si="29"/>
        <v>6.5000000000000006E-3</v>
      </c>
      <c r="P59" s="24">
        <f t="shared" si="29"/>
        <v>6.4999999999999997E-3</v>
      </c>
      <c r="Q59" s="24">
        <f t="shared" si="29"/>
        <v>6.4999999999999997E-3</v>
      </c>
      <c r="R59" s="24">
        <f t="shared" si="29"/>
        <v>6.4999999999999997E-3</v>
      </c>
      <c r="S59" s="24">
        <f t="shared" si="29"/>
        <v>6.4999999999999997E-3</v>
      </c>
      <c r="T59" s="24">
        <f t="shared" si="29"/>
        <v>6.4999999999999997E-3</v>
      </c>
      <c r="U59" s="24">
        <f t="shared" si="29"/>
        <v>6.4999999999999997E-3</v>
      </c>
      <c r="V59" s="24">
        <f t="shared" si="29"/>
        <v>6.4999999999999997E-3</v>
      </c>
      <c r="X59" s="24">
        <f t="shared" ref="X59:AE59" si="30">IFERROR(-X22/X10,"")</f>
        <v>9.0898780168249971E-3</v>
      </c>
      <c r="Y59" s="24">
        <f t="shared" si="30"/>
        <v>8.8748431961627201E-3</v>
      </c>
      <c r="Z59" s="24">
        <f t="shared" si="30"/>
        <v>7.3071242060207516E-3</v>
      </c>
      <c r="AA59" s="24">
        <f t="shared" si="30"/>
        <v>6.4999999999999997E-3</v>
      </c>
      <c r="AB59" s="24">
        <f t="shared" si="30"/>
        <v>6.5000000000000006E-3</v>
      </c>
      <c r="AC59" s="24">
        <f t="shared" si="30"/>
        <v>6.4999999999999997E-3</v>
      </c>
      <c r="AD59" s="24">
        <f t="shared" si="30"/>
        <v>6.4999999999999997E-3</v>
      </c>
      <c r="AE59" s="24">
        <f t="shared" si="30"/>
        <v>6.5000000000000006E-3</v>
      </c>
    </row>
    <row r="60" spans="4:31" x14ac:dyDescent="0.2">
      <c r="D60" s="19" t="s">
        <v>62</v>
      </c>
      <c r="G60" s="24">
        <f t="shared" ref="G60:V60" si="31">IFERROR(-G23/G10,"")</f>
        <v>0.89312466490028986</v>
      </c>
      <c r="H60" s="24">
        <f t="shared" si="31"/>
        <v>0.94578437484444289</v>
      </c>
      <c r="I60" s="24">
        <f t="shared" si="31"/>
        <v>0.93918924606280996</v>
      </c>
      <c r="J60" s="24">
        <f t="shared" si="31"/>
        <v>0.86591652144410347</v>
      </c>
      <c r="K60" s="24">
        <f t="shared" si="31"/>
        <v>2.6349893685304715</v>
      </c>
      <c r="L60" s="24">
        <f t="shared" si="31"/>
        <v>0.99136920696424591</v>
      </c>
      <c r="M60" s="24">
        <f t="shared" si="31"/>
        <v>0.97930773126209436</v>
      </c>
      <c r="N60" s="24">
        <f t="shared" si="31"/>
        <v>0.82508607679795865</v>
      </c>
      <c r="O60" s="24">
        <f t="shared" si="31"/>
        <v>0.86050000000000015</v>
      </c>
      <c r="P60" s="24">
        <f t="shared" si="31"/>
        <v>0.83050000000000002</v>
      </c>
      <c r="Q60" s="24">
        <f t="shared" si="31"/>
        <v>0.8085</v>
      </c>
      <c r="R60" s="24">
        <f t="shared" si="31"/>
        <v>0.79049999999999998</v>
      </c>
      <c r="S60" s="24">
        <f t="shared" si="31"/>
        <v>0.78650000000000009</v>
      </c>
      <c r="T60" s="24">
        <f t="shared" si="31"/>
        <v>0.76350000000000018</v>
      </c>
      <c r="U60" s="24">
        <f t="shared" si="31"/>
        <v>0.74350000000000016</v>
      </c>
      <c r="V60" s="24">
        <f t="shared" si="31"/>
        <v>0.72449999999999992</v>
      </c>
      <c r="X60" s="24">
        <f t="shared" ref="X60:AE60" si="32">IFERROR(-X23/X10,"")</f>
        <v>1.0125526514425616</v>
      </c>
      <c r="Y60" s="24">
        <f t="shared" si="32"/>
        <v>0.91315682057099001</v>
      </c>
      <c r="Z60" s="24">
        <f t="shared" si="32"/>
        <v>1.3552874787929228</v>
      </c>
      <c r="AA60" s="24">
        <f t="shared" si="32"/>
        <v>0.82079980693231513</v>
      </c>
      <c r="AB60" s="24">
        <f t="shared" si="32"/>
        <v>0.75303855291244082</v>
      </c>
      <c r="AC60" s="24">
        <f t="shared" si="32"/>
        <v>0.72150000000000003</v>
      </c>
      <c r="AD60" s="24">
        <f t="shared" si="32"/>
        <v>0.6805000000000001</v>
      </c>
      <c r="AE60" s="24">
        <f t="shared" si="32"/>
        <v>0.63950000000000007</v>
      </c>
    </row>
    <row r="62" spans="4:31" x14ac:dyDescent="0.2">
      <c r="D62" s="19" t="s">
        <v>63</v>
      </c>
      <c r="G62" s="24">
        <f t="shared" ref="G62:V62" si="33">IFERROR(G26/G10,"")</f>
        <v>-2.457224359341402E-2</v>
      </c>
      <c r="H62" s="24">
        <f t="shared" si="33"/>
        <v>-7.2638318348499917E-2</v>
      </c>
      <c r="I62" s="24">
        <f t="shared" si="33"/>
        <v>-5.7123978350715081E-2</v>
      </c>
      <c r="J62" s="24">
        <f t="shared" si="33"/>
        <v>1.7613697700599909E-2</v>
      </c>
      <c r="K62" s="24">
        <f t="shared" si="33"/>
        <v>-1.762074717551297</v>
      </c>
      <c r="L62" s="24">
        <f t="shared" si="33"/>
        <v>-0.11905747545164011</v>
      </c>
      <c r="M62" s="24">
        <f t="shared" si="33"/>
        <v>-9.0160608225260716E-2</v>
      </c>
      <c r="N62" s="24">
        <f t="shared" si="33"/>
        <v>7.1306652744031029E-2</v>
      </c>
      <c r="O62" s="24">
        <f t="shared" si="33"/>
        <v>3.1499999999999882E-2</v>
      </c>
      <c r="P62" s="24">
        <f t="shared" si="33"/>
        <v>6.4499999999999932E-2</v>
      </c>
      <c r="Q62" s="24">
        <f t="shared" si="33"/>
        <v>8.6499999999999952E-2</v>
      </c>
      <c r="R62" s="24">
        <f t="shared" si="33"/>
        <v>0.10449999999999993</v>
      </c>
      <c r="S62" s="24">
        <f t="shared" si="33"/>
        <v>0.1104999999999999</v>
      </c>
      <c r="T62" s="24">
        <f t="shared" si="33"/>
        <v>0.13449999999999987</v>
      </c>
      <c r="U62" s="24">
        <f t="shared" si="33"/>
        <v>0.15449999999999989</v>
      </c>
      <c r="V62" s="24">
        <f t="shared" si="33"/>
        <v>0.17549999999999999</v>
      </c>
      <c r="X62" s="24">
        <f t="shared" ref="X62:AE62" si="34">IFERROR(X26/X10,"")</f>
        <v>-0.18442964359324349</v>
      </c>
      <c r="Y62" s="24">
        <f t="shared" si="34"/>
        <v>-3.7172146259806312E-2</v>
      </c>
      <c r="Z62" s="24">
        <f t="shared" si="34"/>
        <v>-0.47557767849385157</v>
      </c>
      <c r="AA62" s="24">
        <f t="shared" si="34"/>
        <v>7.3509813366704632E-2</v>
      </c>
      <c r="AB62" s="24">
        <f t="shared" si="34"/>
        <v>0.14527588869984565</v>
      </c>
      <c r="AC62" s="24">
        <f t="shared" si="34"/>
        <v>0.17849999999999996</v>
      </c>
      <c r="AD62" s="24">
        <f t="shared" si="34"/>
        <v>0.22149999999999989</v>
      </c>
      <c r="AE62" s="24">
        <f t="shared" si="34"/>
        <v>0.26550000000000001</v>
      </c>
    </row>
    <row r="63" spans="4:31" x14ac:dyDescent="0.2">
      <c r="D63" s="19" t="s">
        <v>64</v>
      </c>
      <c r="G63" s="24">
        <f t="shared" ref="G63:V63" si="35">IFERROR(G30/G10,"")</f>
        <v>-8.6514286309191599E-3</v>
      </c>
      <c r="H63" s="24">
        <f t="shared" si="35"/>
        <v>-5.6289718895112507E-2</v>
      </c>
      <c r="I63" s="24">
        <f t="shared" si="35"/>
        <v>-4.213698307281806E-2</v>
      </c>
      <c r="J63" s="24">
        <f t="shared" si="35"/>
        <v>3.1605184831053464E-2</v>
      </c>
      <c r="K63" s="24">
        <f t="shared" si="35"/>
        <v>-1.748042692497761</v>
      </c>
      <c r="L63" s="24">
        <f t="shared" si="35"/>
        <v>-0.10523275175292855</v>
      </c>
      <c r="M63" s="24">
        <f t="shared" si="35"/>
        <v>-7.7052709949392867E-2</v>
      </c>
      <c r="N63" s="24">
        <f t="shared" si="35"/>
        <v>8.3146556850848125E-2</v>
      </c>
      <c r="O63" s="24">
        <f t="shared" si="35"/>
        <v>3.7999999999999888E-2</v>
      </c>
      <c r="P63" s="24">
        <f t="shared" si="35"/>
        <v>7.0999999999999938E-2</v>
      </c>
      <c r="Q63" s="24">
        <f t="shared" si="35"/>
        <v>9.2999999999999944E-2</v>
      </c>
      <c r="R63" s="24">
        <f t="shared" si="35"/>
        <v>0.11099999999999992</v>
      </c>
      <c r="S63" s="24">
        <f t="shared" si="35"/>
        <v>0.11699999999999991</v>
      </c>
      <c r="T63" s="24">
        <f t="shared" si="35"/>
        <v>0.14099999999999988</v>
      </c>
      <c r="U63" s="24">
        <f t="shared" si="35"/>
        <v>0.16099999999999987</v>
      </c>
      <c r="V63" s="24">
        <f t="shared" si="35"/>
        <v>0.18199999999999997</v>
      </c>
      <c r="X63" s="24">
        <f t="shared" ref="X63:AE63" si="36">IFERROR(X30/X10,"")</f>
        <v>-0.17431039809770393</v>
      </c>
      <c r="Y63" s="24">
        <f t="shared" si="36"/>
        <v>-2.2010208759021911E-2</v>
      </c>
      <c r="Z63" s="24">
        <f t="shared" si="36"/>
        <v>-0.46185881459870026</v>
      </c>
      <c r="AA63" s="24">
        <f t="shared" si="36"/>
        <v>8.0009813366704624E-2</v>
      </c>
      <c r="AB63" s="24">
        <f t="shared" si="36"/>
        <v>0.15177588869984562</v>
      </c>
      <c r="AC63" s="24">
        <f t="shared" si="36"/>
        <v>0.18499999999999997</v>
      </c>
      <c r="AD63" s="24">
        <f t="shared" si="36"/>
        <v>0.22799999999999992</v>
      </c>
      <c r="AE63" s="24">
        <f t="shared" si="36"/>
        <v>0.27200000000000002</v>
      </c>
    </row>
    <row r="64" spans="4:31" x14ac:dyDescent="0.2">
      <c r="D64" s="19" t="s">
        <v>65</v>
      </c>
      <c r="G64" s="24">
        <f t="shared" ref="G64:V64" si="37">IFERROR(G33/G10,"")</f>
        <v>1.2050575981094542E-3</v>
      </c>
      <c r="H64" s="24">
        <f t="shared" si="37"/>
        <v>-4.6997778941904059E-2</v>
      </c>
      <c r="I64" s="24">
        <f t="shared" si="37"/>
        <v>-3.9794870499903233E-2</v>
      </c>
      <c r="J64" s="24">
        <f t="shared" si="37"/>
        <v>2.7934780932405964E-2</v>
      </c>
      <c r="K64" s="24">
        <f t="shared" si="37"/>
        <v>-1.7503072049743535</v>
      </c>
      <c r="L64" s="24">
        <f t="shared" si="37"/>
        <v>-0.10016577157376279</v>
      </c>
      <c r="M64" s="24">
        <f t="shared" si="37"/>
        <v>-7.5006958907233634E-2</v>
      </c>
      <c r="N64" s="24">
        <f t="shared" si="37"/>
        <v>8.3274764553505104E-2</v>
      </c>
      <c r="O64" s="24">
        <f t="shared" si="37"/>
        <v>4.5575905100247699E-2</v>
      </c>
      <c r="P64" s="24">
        <f t="shared" si="37"/>
        <v>7.8061528655509985E-2</v>
      </c>
      <c r="Q64" s="24">
        <f t="shared" si="37"/>
        <v>0.10047204194406986</v>
      </c>
      <c r="R64" s="24">
        <f t="shared" si="37"/>
        <v>0.11766339824972867</v>
      </c>
      <c r="S64" s="24">
        <f t="shared" si="37"/>
        <v>0.12490924549588263</v>
      </c>
      <c r="T64" s="24">
        <f t="shared" si="37"/>
        <v>0.14841830712895679</v>
      </c>
      <c r="U64" s="24">
        <f t="shared" si="37"/>
        <v>0.16745943402617205</v>
      </c>
      <c r="V64" s="24">
        <f t="shared" si="37"/>
        <v>0.18881708648781817</v>
      </c>
      <c r="X64" s="24">
        <f t="shared" ref="X64:AE64" si="38">IFERROR(X33/X10,"")</f>
        <v>-0.15876037873839915</v>
      </c>
      <c r="Y64" s="24">
        <f t="shared" si="38"/>
        <v>-1.3586578129398105E-2</v>
      </c>
      <c r="Z64" s="24">
        <f t="shared" si="38"/>
        <v>-0.46145913836388819</v>
      </c>
      <c r="AA64" s="24">
        <f t="shared" si="38"/>
        <v>8.718660328734236E-2</v>
      </c>
      <c r="AB64" s="24">
        <f t="shared" si="38"/>
        <v>0.15889728840309589</v>
      </c>
      <c r="AC64" s="24">
        <f t="shared" si="38"/>
        <v>0.19196396611819852</v>
      </c>
      <c r="AD64" s="24">
        <f t="shared" si="38"/>
        <v>0.23418498775304064</v>
      </c>
      <c r="AE64" s="24">
        <f t="shared" si="38"/>
        <v>0.27743499828792451</v>
      </c>
    </row>
    <row r="65" spans="2:31" x14ac:dyDescent="0.2">
      <c r="D65" s="19" t="s">
        <v>66</v>
      </c>
      <c r="G65" s="24">
        <f t="shared" ref="G65:V65" si="39">IFERROR(-G36/G33,"")</f>
        <v>0.16846652267817636</v>
      </c>
      <c r="H65" s="24">
        <f t="shared" si="39"/>
        <v>-0.11090936601603869</v>
      </c>
      <c r="I65" s="24">
        <f t="shared" si="39"/>
        <v>-3.6751097244989657E-2</v>
      </c>
      <c r="J65" s="24">
        <f t="shared" si="39"/>
        <v>0.10710095921606515</v>
      </c>
      <c r="K65" s="24">
        <f t="shared" si="39"/>
        <v>1.1325983884001155E-3</v>
      </c>
      <c r="L65" s="24">
        <f t="shared" si="39"/>
        <v>-5.1430880570148075E-3</v>
      </c>
      <c r="M65" s="24">
        <f t="shared" si="39"/>
        <v>-1.0283695870872541E-3</v>
      </c>
      <c r="N65" s="24">
        <f t="shared" si="39"/>
        <v>8.4398360260429222E-3</v>
      </c>
      <c r="O65" s="24">
        <f t="shared" si="39"/>
        <v>0.02</v>
      </c>
      <c r="P65" s="24">
        <f t="shared" si="39"/>
        <v>0.05</v>
      </c>
      <c r="Q65" s="24">
        <f t="shared" si="39"/>
        <v>0.08</v>
      </c>
      <c r="R65" s="24">
        <f t="shared" si="39"/>
        <v>9.9999999999999992E-2</v>
      </c>
      <c r="S65" s="24">
        <f t="shared" si="39"/>
        <v>0.15</v>
      </c>
      <c r="T65" s="24">
        <f t="shared" si="39"/>
        <v>0.17999999999999997</v>
      </c>
      <c r="U65" s="24">
        <f t="shared" si="39"/>
        <v>0.2</v>
      </c>
      <c r="V65" s="24">
        <f t="shared" si="39"/>
        <v>0.21</v>
      </c>
      <c r="X65" s="24">
        <f t="shared" ref="X65:AE65" si="40">IFERROR(-X36/X33,"")</f>
        <v>-1.1528910961333802E-3</v>
      </c>
      <c r="Y65" s="24">
        <f t="shared" si="40"/>
        <v>-0.11480601741884483</v>
      </c>
      <c r="Z65" s="24">
        <f t="shared" si="40"/>
        <v>-8.2350201416106364E-4</v>
      </c>
      <c r="AA65" s="24">
        <f t="shared" si="40"/>
        <v>7.3746500046759325E-2</v>
      </c>
      <c r="AB65" s="24">
        <f t="shared" si="40"/>
        <v>0.18968956832290232</v>
      </c>
      <c r="AC65" s="24">
        <f t="shared" si="40"/>
        <v>0.21</v>
      </c>
      <c r="AD65" s="24">
        <f t="shared" si="40"/>
        <v>0.21</v>
      </c>
      <c r="AE65" s="24">
        <f t="shared" si="40"/>
        <v>0.21</v>
      </c>
    </row>
    <row r="66" spans="2:31" x14ac:dyDescent="0.2">
      <c r="D66" s="19" t="s">
        <v>67</v>
      </c>
      <c r="G66" s="24">
        <f t="shared" ref="G66:V66" si="41">IFERROR(G37/G10,"")</f>
        <v>1.0020457349290391E-3</v>
      </c>
      <c r="H66" s="24">
        <f t="shared" si="41"/>
        <v>-5.2210272808512564E-2</v>
      </c>
      <c r="I66" s="24">
        <f t="shared" si="41"/>
        <v>-4.1257375655496947E-2</v>
      </c>
      <c r="J66" s="24">
        <f t="shared" si="41"/>
        <v>2.4942939099054637E-2</v>
      </c>
      <c r="K66" s="24">
        <f t="shared" si="41"/>
        <v>-1.7483248098547945</v>
      </c>
      <c r="L66" s="24">
        <f t="shared" si="41"/>
        <v>-0.10068093295726549</v>
      </c>
      <c r="M66" s="24">
        <f t="shared" si="41"/>
        <v>-7.508409378259373E-2</v>
      </c>
      <c r="N66" s="24">
        <f t="shared" si="41"/>
        <v>8.2571939195566199E-2</v>
      </c>
      <c r="O66" s="24">
        <f t="shared" si="41"/>
        <v>4.4664386998242746E-2</v>
      </c>
      <c r="P66" s="24">
        <f t="shared" si="41"/>
        <v>7.4158452222734483E-2</v>
      </c>
      <c r="Q66" s="24">
        <f t="shared" si="41"/>
        <v>9.2434278588544277E-2</v>
      </c>
      <c r="R66" s="24">
        <f t="shared" si="41"/>
        <v>0.10589705842475582</v>
      </c>
      <c r="S66" s="24">
        <f t="shared" si="41"/>
        <v>0.10617285867150024</v>
      </c>
      <c r="T66" s="24">
        <f t="shared" si="41"/>
        <v>0.12170301184574457</v>
      </c>
      <c r="U66" s="24">
        <f t="shared" si="41"/>
        <v>0.13396754722093762</v>
      </c>
      <c r="V66" s="24">
        <f t="shared" si="41"/>
        <v>0.14916549832537637</v>
      </c>
      <c r="X66" s="24">
        <f t="shared" ref="X66:AE66" si="42">IFERROR(X37/X10,"")</f>
        <v>-0.15894341216546543</v>
      </c>
      <c r="Y66" s="24">
        <f t="shared" si="42"/>
        <v>-1.5146399054784281E-2</v>
      </c>
      <c r="Z66" s="24">
        <f t="shared" si="42"/>
        <v>-0.46183915089378391</v>
      </c>
      <c r="AA66" s="24">
        <f t="shared" si="42"/>
        <v>8.0756896443935577E-2</v>
      </c>
      <c r="AB66" s="24">
        <f t="shared" si="42"/>
        <v>0.12875613035823294</v>
      </c>
      <c r="AC66" s="24">
        <f t="shared" si="42"/>
        <v>0.15165153323337682</v>
      </c>
      <c r="AD66" s="24">
        <f t="shared" si="42"/>
        <v>0.18500614032490212</v>
      </c>
      <c r="AE66" s="24">
        <f t="shared" si="42"/>
        <v>0.21917364864746039</v>
      </c>
    </row>
    <row r="68" spans="2:31" x14ac:dyDescent="0.2">
      <c r="D68" s="9" t="s">
        <v>68</v>
      </c>
      <c r="G68" s="10">
        <v>298.70999999999998</v>
      </c>
      <c r="H68" s="10">
        <v>313.19600000000003</v>
      </c>
      <c r="I68" s="10">
        <v>325.678</v>
      </c>
      <c r="J68" s="10">
        <v>349.15499999999997</v>
      </c>
      <c r="K68" s="10">
        <v>362.78199999999998</v>
      </c>
      <c r="L68" s="10">
        <v>377.16500000000002</v>
      </c>
      <c r="M68" s="10">
        <v>427.37200000000001</v>
      </c>
      <c r="N68" s="10">
        <v>491.40800000000002</v>
      </c>
      <c r="O68" s="36">
        <v>485</v>
      </c>
      <c r="P68" s="36">
        <v>510</v>
      </c>
      <c r="Q68" s="36">
        <v>555</v>
      </c>
      <c r="R68" s="36">
        <v>590</v>
      </c>
      <c r="S68" s="36">
        <v>595</v>
      </c>
      <c r="T68" s="36">
        <v>620</v>
      </c>
      <c r="U68" s="36">
        <v>670</v>
      </c>
      <c r="V68" s="36">
        <v>715</v>
      </c>
      <c r="X68" s="11"/>
      <c r="Y68" s="10">
        <v>1246.0709999999999</v>
      </c>
      <c r="Z68" s="10">
        <v>1516.4</v>
      </c>
      <c r="AA68" s="36">
        <v>2040</v>
      </c>
      <c r="AB68" s="36">
        <v>2475</v>
      </c>
      <c r="AC68" s="36">
        <v>2900</v>
      </c>
      <c r="AD68" s="36">
        <v>3490</v>
      </c>
      <c r="AE68" s="36">
        <v>4160</v>
      </c>
    </row>
    <row r="69" spans="2:31" x14ac:dyDescent="0.2">
      <c r="D69" s="19" t="s">
        <v>69</v>
      </c>
      <c r="G69" s="24">
        <f t="shared" ref="G69:V69" si="43">IFERROR(G68/G10,"")</f>
        <v>0.77745735449515108</v>
      </c>
      <c r="H69" s="24">
        <f t="shared" si="43"/>
        <v>0.74239755754721237</v>
      </c>
      <c r="I69" s="24">
        <f t="shared" si="43"/>
        <v>0.68533202023517925</v>
      </c>
      <c r="J69" s="24">
        <f t="shared" si="43"/>
        <v>0.67307766451274609</v>
      </c>
      <c r="K69" s="24">
        <f t="shared" si="43"/>
        <v>0.68689328200943289</v>
      </c>
      <c r="L69" s="24">
        <f t="shared" si="43"/>
        <v>0.69393158288854673</v>
      </c>
      <c r="M69" s="24">
        <f t="shared" si="43"/>
        <v>0.71663665113908093</v>
      </c>
      <c r="N69" s="24">
        <f t="shared" si="43"/>
        <v>0.7590637439429585</v>
      </c>
      <c r="O69" s="24">
        <f t="shared" si="43"/>
        <v>0.75853488595779894</v>
      </c>
      <c r="P69" s="24">
        <f t="shared" si="43"/>
        <v>0.7684866238122362</v>
      </c>
      <c r="Q69" s="24">
        <f t="shared" si="43"/>
        <v>0.77544832789588036</v>
      </c>
      <c r="R69" s="24">
        <f t="shared" si="43"/>
        <v>0.77664049673399638</v>
      </c>
      <c r="S69" s="24">
        <f t="shared" si="43"/>
        <v>0.77940918818638361</v>
      </c>
      <c r="T69" s="24">
        <f t="shared" si="43"/>
        <v>0.78448640181393503</v>
      </c>
      <c r="U69" s="24">
        <f t="shared" si="43"/>
        <v>0.78934734523048655</v>
      </c>
      <c r="V69" s="24">
        <f t="shared" si="43"/>
        <v>0.79347640323250068</v>
      </c>
      <c r="X69" s="24">
        <f t="shared" ref="X69:AE69" si="44">IFERROR(X68/X10,"")</f>
        <v>0</v>
      </c>
      <c r="Y69" s="24">
        <f t="shared" si="44"/>
        <v>0.74469257483405238</v>
      </c>
      <c r="Z69" s="24">
        <f t="shared" si="44"/>
        <v>0.69344284035358095</v>
      </c>
      <c r="AA69" s="24">
        <f t="shared" si="44"/>
        <v>0.73422766942370965</v>
      </c>
      <c r="AB69" s="24">
        <f t="shared" si="44"/>
        <v>0.74917698367876329</v>
      </c>
      <c r="AC69" s="24">
        <f t="shared" si="44"/>
        <v>0.78091003485551547</v>
      </c>
      <c r="AD69" s="24">
        <f t="shared" si="44"/>
        <v>0.79054655818057429</v>
      </c>
      <c r="AE69" s="24">
        <f t="shared" si="44"/>
        <v>0.80079988512525646</v>
      </c>
    </row>
    <row r="70" spans="2:31" x14ac:dyDescent="0.2">
      <c r="D70" s="9" t="s">
        <v>70</v>
      </c>
      <c r="G70" s="10">
        <v>2</v>
      </c>
      <c r="H70" s="10">
        <v>1</v>
      </c>
      <c r="I70" s="10">
        <v>-11.907</v>
      </c>
      <c r="J70" s="10">
        <v>11</v>
      </c>
      <c r="K70" s="10">
        <v>46</v>
      </c>
      <c r="L70" s="10">
        <v>13</v>
      </c>
      <c r="M70" s="10">
        <v>56.746000000000002</v>
      </c>
      <c r="N70" s="10">
        <v>119</v>
      </c>
      <c r="O70" s="36">
        <v>74.5</v>
      </c>
      <c r="P70" s="36">
        <v>100</v>
      </c>
      <c r="Q70" s="36">
        <v>130</v>
      </c>
      <c r="R70" s="36">
        <v>130</v>
      </c>
      <c r="S70" s="36">
        <v>125</v>
      </c>
      <c r="T70" s="36">
        <v>145</v>
      </c>
      <c r="U70" s="36">
        <v>155</v>
      </c>
      <c r="V70" s="36">
        <v>165</v>
      </c>
      <c r="X70" s="11"/>
      <c r="Y70" s="10">
        <v>-6.984</v>
      </c>
      <c r="Z70" s="10">
        <v>126.59699999999999</v>
      </c>
      <c r="AA70" s="36">
        <v>423.5</v>
      </c>
      <c r="AB70" s="36">
        <v>555</v>
      </c>
      <c r="AC70" s="36">
        <v>690</v>
      </c>
      <c r="AD70" s="36">
        <v>860</v>
      </c>
      <c r="AE70" s="36">
        <v>1040</v>
      </c>
    </row>
    <row r="71" spans="2:31" x14ac:dyDescent="0.2">
      <c r="D71" s="19" t="s">
        <v>71</v>
      </c>
      <c r="G71" s="24">
        <f t="shared" ref="G71:V71" si="45">IFERROR(G70/G10,"")</f>
        <v>5.205432389241412E-3</v>
      </c>
      <c r="H71" s="24">
        <f t="shared" si="45"/>
        <v>2.370392845206236E-3</v>
      </c>
      <c r="I71" s="24">
        <f t="shared" si="45"/>
        <v>-2.5056185449862378E-2</v>
      </c>
      <c r="J71" s="24">
        <f t="shared" si="45"/>
        <v>2.1205064540505528E-2</v>
      </c>
      <c r="K71" s="24">
        <f t="shared" si="45"/>
        <v>8.7096633715106911E-2</v>
      </c>
      <c r="L71" s="24">
        <f t="shared" si="45"/>
        <v>2.3918207091196443E-2</v>
      </c>
      <c r="M71" s="24">
        <f t="shared" si="45"/>
        <v>9.5154252982269052E-2</v>
      </c>
      <c r="N71" s="24">
        <f t="shared" si="45"/>
        <v>0.18381586284556226</v>
      </c>
      <c r="O71" s="24">
        <f t="shared" si="45"/>
        <v>0.11651721444094025</v>
      </c>
      <c r="P71" s="24">
        <f t="shared" si="45"/>
        <v>0.15068365172788944</v>
      </c>
      <c r="Q71" s="24">
        <f t="shared" si="45"/>
        <v>0.1816365452729089</v>
      </c>
      <c r="R71" s="24">
        <f t="shared" si="45"/>
        <v>0.17112417724647377</v>
      </c>
      <c r="S71" s="24">
        <f t="shared" si="45"/>
        <v>0.1637414260895764</v>
      </c>
      <c r="T71" s="24">
        <f t="shared" si="45"/>
        <v>0.18346859397261384</v>
      </c>
      <c r="U71" s="24">
        <f t="shared" si="45"/>
        <v>0.18261020673242601</v>
      </c>
      <c r="V71" s="24">
        <f t="shared" si="45"/>
        <v>0.18310993920750016</v>
      </c>
      <c r="X71" s="24">
        <f t="shared" ref="X71:AE71" si="46">IFERROR(X70/X10,"")</f>
        <v>0</v>
      </c>
      <c r="Y71" s="24">
        <f t="shared" si="46"/>
        <v>-4.1738656486195588E-3</v>
      </c>
      <c r="Z71" s="24">
        <f t="shared" si="46"/>
        <v>5.789223375114895E-2</v>
      </c>
      <c r="AA71" s="24">
        <f t="shared" si="46"/>
        <v>0.15242422451026522</v>
      </c>
      <c r="AB71" s="24">
        <f t="shared" si="46"/>
        <v>0.16799726300675297</v>
      </c>
      <c r="AC71" s="24">
        <f t="shared" si="46"/>
        <v>0.1858027324311399</v>
      </c>
      <c r="AD71" s="24">
        <f t="shared" si="46"/>
        <v>0.19480516906455414</v>
      </c>
      <c r="AE71" s="24">
        <f t="shared" si="46"/>
        <v>0.20019997128131412</v>
      </c>
    </row>
    <row r="75" spans="2:31" ht="16" x14ac:dyDescent="0.2">
      <c r="B75" s="18" t="s">
        <v>72</v>
      </c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X75" s="18"/>
      <c r="Y75" s="18"/>
      <c r="Z75" s="18"/>
      <c r="AA75" s="18"/>
      <c r="AB75" s="18"/>
      <c r="AC75" s="18"/>
      <c r="AD75" s="18"/>
      <c r="AE75" s="18"/>
    </row>
    <row r="77" spans="2:31" x14ac:dyDescent="0.2">
      <c r="C77" s="19" t="s">
        <v>73</v>
      </c>
      <c r="G77" s="38">
        <v>7.5</v>
      </c>
      <c r="H77" s="38">
        <v>7.8</v>
      </c>
      <c r="I77" s="38">
        <v>8</v>
      </c>
      <c r="J77" s="38">
        <v>8.6</v>
      </c>
      <c r="K77" s="38">
        <v>8.6999999999999993</v>
      </c>
      <c r="L77" s="38">
        <v>9</v>
      </c>
      <c r="M77" s="38">
        <v>9.5</v>
      </c>
      <c r="N77" s="38">
        <v>10.199999999999999</v>
      </c>
      <c r="O77" s="38">
        <v>10.85</v>
      </c>
      <c r="P77" s="38">
        <v>11.45</v>
      </c>
      <c r="Q77" s="38">
        <v>12.1</v>
      </c>
      <c r="R77" s="38">
        <v>12.7</v>
      </c>
      <c r="S77" s="38">
        <v>13.25</v>
      </c>
      <c r="T77" s="38">
        <v>13.8</v>
      </c>
      <c r="U77" s="38">
        <v>14.35</v>
      </c>
      <c r="V77" s="38">
        <v>14.85</v>
      </c>
      <c r="Y77" s="38">
        <v>8</v>
      </c>
      <c r="Z77" s="38">
        <v>9.5</v>
      </c>
      <c r="AA77" s="38">
        <v>12.1</v>
      </c>
      <c r="AB77" s="38">
        <v>14.35</v>
      </c>
      <c r="AC77" s="38">
        <v>16.649999999999999</v>
      </c>
      <c r="AD77" s="38">
        <v>19.649999999999999</v>
      </c>
      <c r="AE77" s="38">
        <v>22.95</v>
      </c>
    </row>
    <row r="78" spans="2:31" x14ac:dyDescent="0.2">
      <c r="D78" s="9" t="s">
        <v>74</v>
      </c>
      <c r="O78" s="24">
        <f t="shared" ref="O78:V78" si="47">IFERROR(O77/K77-1,"")</f>
        <v>0.24712643678160928</v>
      </c>
      <c r="P78" s="24">
        <f t="shared" si="47"/>
        <v>0.27222222222222214</v>
      </c>
      <c r="Q78" s="24">
        <f t="shared" si="47"/>
        <v>0.27368421052631575</v>
      </c>
      <c r="R78" s="24">
        <f t="shared" si="47"/>
        <v>0.24509803921568629</v>
      </c>
      <c r="S78" s="24">
        <f t="shared" si="47"/>
        <v>0.22119815668202758</v>
      </c>
      <c r="T78" s="24">
        <f t="shared" si="47"/>
        <v>0.20524017467248923</v>
      </c>
      <c r="U78" s="24">
        <f t="shared" si="47"/>
        <v>0.18595041322314043</v>
      </c>
      <c r="V78" s="24">
        <f t="shared" si="47"/>
        <v>0.16929133858267731</v>
      </c>
      <c r="AA78" s="24">
        <f>IFERROR(AA77/Z77-1,"")</f>
        <v>0.27368421052631575</v>
      </c>
      <c r="AB78" s="24">
        <f>IFERROR(AB77/AA77-1,"")</f>
        <v>0.18595041322314043</v>
      </c>
      <c r="AC78" s="24">
        <f>IFERROR(AC77/AB77-1,"")</f>
        <v>0.16027874564459932</v>
      </c>
      <c r="AD78" s="24">
        <f>IFERROR(AD77/AC77-1,"")</f>
        <v>0.18018018018018012</v>
      </c>
      <c r="AE78" s="24">
        <f>IFERROR(AE77/AD77-1,"")</f>
        <v>0.16793893129770998</v>
      </c>
    </row>
    <row r="80" spans="2:31" x14ac:dyDescent="0.2">
      <c r="C80" s="19" t="s">
        <v>75</v>
      </c>
      <c r="G80" s="39">
        <v>3600</v>
      </c>
      <c r="H80" s="39">
        <v>3526</v>
      </c>
      <c r="I80" s="39">
        <v>3875</v>
      </c>
      <c r="J80" s="39">
        <v>4016</v>
      </c>
      <c r="K80" s="39">
        <v>3793</v>
      </c>
      <c r="L80" s="39">
        <v>3378</v>
      </c>
      <c r="M80" s="39">
        <v>3621</v>
      </c>
      <c r="N80" s="39">
        <v>3824</v>
      </c>
      <c r="O80" s="40">
        <v>3550</v>
      </c>
      <c r="P80" s="40">
        <v>3450</v>
      </c>
      <c r="Q80" s="40">
        <v>3500</v>
      </c>
      <c r="R80" s="40">
        <v>3550</v>
      </c>
      <c r="S80" s="40">
        <v>3450</v>
      </c>
      <c r="T80" s="40">
        <v>3450</v>
      </c>
      <c r="U80" s="40">
        <v>3500</v>
      </c>
      <c r="V80" s="40">
        <v>3700</v>
      </c>
      <c r="Y80" s="39">
        <v>3598</v>
      </c>
      <c r="Z80" s="39">
        <v>3483</v>
      </c>
      <c r="AA80" s="40">
        <v>3300</v>
      </c>
      <c r="AB80" s="40">
        <v>3268</v>
      </c>
      <c r="AC80" s="40">
        <v>3280</v>
      </c>
      <c r="AD80" s="40">
        <v>3275</v>
      </c>
      <c r="AE80" s="40">
        <v>3271</v>
      </c>
    </row>
    <row r="82" spans="2:31" x14ac:dyDescent="0.2">
      <c r="C82" s="19" t="s">
        <v>76</v>
      </c>
      <c r="G82" s="41">
        <v>27</v>
      </c>
      <c r="H82" s="41">
        <v>27.5</v>
      </c>
      <c r="I82" s="41">
        <v>31</v>
      </c>
      <c r="J82" s="41">
        <v>34.54</v>
      </c>
      <c r="K82" s="41">
        <v>33</v>
      </c>
      <c r="L82" s="41">
        <v>30.4</v>
      </c>
      <c r="M82" s="41">
        <v>34.4</v>
      </c>
      <c r="N82" s="41">
        <v>39</v>
      </c>
      <c r="O82" s="42">
        <f t="shared" ref="O82:V82" si="48">O77*O80/1000</f>
        <v>38.517499999999998</v>
      </c>
      <c r="P82" s="42">
        <f t="shared" si="48"/>
        <v>39.502499999999998</v>
      </c>
      <c r="Q82" s="42">
        <f t="shared" si="48"/>
        <v>42.35</v>
      </c>
      <c r="R82" s="42">
        <f t="shared" si="48"/>
        <v>45.085000000000001</v>
      </c>
      <c r="S82" s="42">
        <f t="shared" si="48"/>
        <v>45.712499999999999</v>
      </c>
      <c r="T82" s="42">
        <f t="shared" si="48"/>
        <v>47.61</v>
      </c>
      <c r="U82" s="42">
        <f t="shared" si="48"/>
        <v>50.225000000000001</v>
      </c>
      <c r="V82" s="42">
        <f t="shared" si="48"/>
        <v>54.945</v>
      </c>
      <c r="Y82" s="41">
        <v>115.152</v>
      </c>
      <c r="Z82" s="41">
        <v>132.34</v>
      </c>
      <c r="AA82" s="42">
        <f>O82+P82+Q82+R82</f>
        <v>165.45500000000001</v>
      </c>
      <c r="AB82" s="42">
        <f>S82+T82+U82+V82</f>
        <v>198.49249999999998</v>
      </c>
      <c r="AC82" s="42">
        <f>AC77*AC80*4/1000</f>
        <v>218.44799999999998</v>
      </c>
      <c r="AD82" s="42">
        <f>AD77*AD80*4/1000</f>
        <v>257.41499999999996</v>
      </c>
      <c r="AE82" s="42">
        <f>AE77*AE80*4/1000</f>
        <v>300.27780000000001</v>
      </c>
    </row>
    <row r="84" spans="2:31" x14ac:dyDescent="0.2">
      <c r="C84" s="19" t="s">
        <v>77</v>
      </c>
      <c r="G84" s="43">
        <v>1.4200000000000001E-2</v>
      </c>
      <c r="H84" s="43">
        <v>1.5299999999999999E-2</v>
      </c>
      <c r="I84" s="43">
        <v>1.5299999999999999E-2</v>
      </c>
      <c r="J84" s="43">
        <v>1.4999999999999999E-2</v>
      </c>
      <c r="K84" s="43">
        <v>1.6E-2</v>
      </c>
      <c r="L84" s="43">
        <v>1.7899999999999999E-2</v>
      </c>
      <c r="M84" s="43">
        <v>1.7299999999999999E-2</v>
      </c>
      <c r="N84" s="43">
        <v>1.66E-2</v>
      </c>
      <c r="O84" s="44">
        <v>1.66E-2</v>
      </c>
      <c r="P84" s="44">
        <v>1.6799999999999999E-2</v>
      </c>
      <c r="Q84" s="44">
        <v>1.6899999999999998E-2</v>
      </c>
      <c r="R84" s="44">
        <v>1.685E-2</v>
      </c>
      <c r="S84" s="44">
        <v>1.67E-2</v>
      </c>
      <c r="T84" s="44">
        <v>1.66E-2</v>
      </c>
      <c r="U84" s="44">
        <v>1.6899999999999998E-2</v>
      </c>
      <c r="V84" s="44">
        <v>1.6400000000000001E-2</v>
      </c>
      <c r="Y84" s="43">
        <v>1.4500000000000001E-2</v>
      </c>
      <c r="Z84" s="43">
        <v>1.6500000000000001E-2</v>
      </c>
      <c r="AA84" s="44">
        <v>1.67E-2</v>
      </c>
      <c r="AB84" s="44">
        <v>1.685E-2</v>
      </c>
      <c r="AC84" s="44">
        <v>1.7000000000000001E-2</v>
      </c>
      <c r="AD84" s="44">
        <v>1.7149999999999999E-2</v>
      </c>
      <c r="AE84" s="44">
        <v>1.7299999999999999E-2</v>
      </c>
    </row>
    <row r="86" spans="2:31" x14ac:dyDescent="0.2">
      <c r="C86" s="19" t="s">
        <v>78</v>
      </c>
      <c r="G86" s="29">
        <f t="shared" ref="G86:V86" si="49">G82*G84*1000</f>
        <v>383.40000000000003</v>
      </c>
      <c r="H86" s="29">
        <f t="shared" si="49"/>
        <v>420.74999999999994</v>
      </c>
      <c r="I86" s="29">
        <f t="shared" si="49"/>
        <v>474.3</v>
      </c>
      <c r="J86" s="29">
        <f t="shared" si="49"/>
        <v>518.1</v>
      </c>
      <c r="K86" s="29">
        <f t="shared" si="49"/>
        <v>528</v>
      </c>
      <c r="L86" s="29">
        <f t="shared" si="49"/>
        <v>544.16</v>
      </c>
      <c r="M86" s="29">
        <f t="shared" si="49"/>
        <v>595.12</v>
      </c>
      <c r="N86" s="29">
        <f t="shared" si="49"/>
        <v>647.4</v>
      </c>
      <c r="O86" s="29">
        <f t="shared" si="49"/>
        <v>639.39049999999997</v>
      </c>
      <c r="P86" s="29">
        <f t="shared" si="49"/>
        <v>663.64199999999994</v>
      </c>
      <c r="Q86" s="29">
        <f t="shared" si="49"/>
        <v>715.71500000000003</v>
      </c>
      <c r="R86" s="29">
        <f t="shared" si="49"/>
        <v>759.68224999999995</v>
      </c>
      <c r="S86" s="29">
        <f t="shared" si="49"/>
        <v>763.39874999999995</v>
      </c>
      <c r="T86" s="29">
        <f t="shared" si="49"/>
        <v>790.32600000000002</v>
      </c>
      <c r="U86" s="29">
        <f t="shared" si="49"/>
        <v>848.8024999999999</v>
      </c>
      <c r="V86" s="29">
        <f t="shared" si="49"/>
        <v>901.09800000000007</v>
      </c>
      <c r="X86" s="29">
        <f>X82*X84*1000</f>
        <v>0</v>
      </c>
      <c r="Y86" s="29">
        <f>Y82*Y84*1000</f>
        <v>1669.7040000000002</v>
      </c>
      <c r="Z86" s="29">
        <f>Z82*Z84*1000</f>
        <v>2183.61</v>
      </c>
      <c r="AA86" s="29">
        <f>O86+P86+Q86+R86</f>
        <v>2778.4297499999998</v>
      </c>
      <c r="AB86" s="29">
        <f>S86+T86+U86+V86</f>
        <v>3303.6252499999996</v>
      </c>
      <c r="AC86" s="29">
        <f>AC82*AC84*1000</f>
        <v>3713.616</v>
      </c>
      <c r="AD86" s="29">
        <f>AD82*AD84*1000</f>
        <v>4414.6672499999986</v>
      </c>
      <c r="AE86" s="29">
        <f>AE82*AE84*1000</f>
        <v>5194.8059400000002</v>
      </c>
    </row>
    <row r="88" spans="2:31" x14ac:dyDescent="0.2">
      <c r="C88" s="19" t="s">
        <v>79</v>
      </c>
      <c r="G88" s="39">
        <f>G86*4/G77</f>
        <v>204.48000000000002</v>
      </c>
      <c r="H88" s="39">
        <f t="shared" ref="H88:V88" si="50">H86*4/AVERAGE(G77,H77)</f>
        <v>219.99999999999997</v>
      </c>
      <c r="I88" s="39">
        <f t="shared" si="50"/>
        <v>240.15189873417722</v>
      </c>
      <c r="J88" s="39">
        <f t="shared" si="50"/>
        <v>249.68674698795181</v>
      </c>
      <c r="K88" s="39">
        <f t="shared" si="50"/>
        <v>244.16184971098269</v>
      </c>
      <c r="L88" s="39">
        <f t="shared" si="50"/>
        <v>245.94802259887004</v>
      </c>
      <c r="M88" s="39">
        <f t="shared" si="50"/>
        <v>257.34918918918919</v>
      </c>
      <c r="N88" s="39">
        <f t="shared" si="50"/>
        <v>262.90355329949239</v>
      </c>
      <c r="O88" s="39">
        <f t="shared" si="50"/>
        <v>242.99876484560573</v>
      </c>
      <c r="P88" s="39">
        <f t="shared" si="50"/>
        <v>238.07784753363231</v>
      </c>
      <c r="Q88" s="39">
        <f t="shared" si="50"/>
        <v>243.13036093418262</v>
      </c>
      <c r="R88" s="39">
        <f t="shared" si="50"/>
        <v>245.05879032258065</v>
      </c>
      <c r="S88" s="39">
        <f t="shared" si="50"/>
        <v>235.34450867052021</v>
      </c>
      <c r="T88" s="39">
        <f t="shared" si="50"/>
        <v>233.73781885397412</v>
      </c>
      <c r="U88" s="39">
        <f t="shared" si="50"/>
        <v>241.22273534635877</v>
      </c>
      <c r="V88" s="39">
        <f t="shared" si="50"/>
        <v>246.87616438356167</v>
      </c>
      <c r="X88" s="39" t="str">
        <f>IFERROR(X86/X77,"")</f>
        <v/>
      </c>
      <c r="Y88" s="39">
        <f>IFERROR(Y86/Y77,"")</f>
        <v>208.71300000000002</v>
      </c>
      <c r="Z88" s="39">
        <f t="shared" ref="Z88:AE88" si="51">Z86/AVERAGE(Y77,Z77)</f>
        <v>249.55542857142859</v>
      </c>
      <c r="AA88" s="39">
        <f t="shared" si="51"/>
        <v>257.26201388888887</v>
      </c>
      <c r="AB88" s="39">
        <f t="shared" si="51"/>
        <v>249.80153119092626</v>
      </c>
      <c r="AC88" s="39">
        <f t="shared" si="51"/>
        <v>239.58812903225805</v>
      </c>
      <c r="AD88" s="39">
        <f t="shared" si="51"/>
        <v>243.23235537190078</v>
      </c>
      <c r="AE88" s="39">
        <f t="shared" si="51"/>
        <v>243.88760281690145</v>
      </c>
    </row>
    <row r="89" spans="2:31" x14ac:dyDescent="0.2">
      <c r="D89" s="9" t="s">
        <v>74</v>
      </c>
      <c r="O89" s="24">
        <f t="shared" ref="O89:V89" si="52">IFERROR(O88/K88-1,"")</f>
        <v>-4.7635814798819842E-3</v>
      </c>
      <c r="P89" s="24">
        <f t="shared" si="52"/>
        <v>-3.1999342715080981E-2</v>
      </c>
      <c r="Q89" s="24">
        <f t="shared" si="52"/>
        <v>-5.5251109590843339E-2</v>
      </c>
      <c r="R89" s="24">
        <f t="shared" si="52"/>
        <v>-6.7875701005012612E-2</v>
      </c>
      <c r="S89" s="24">
        <f t="shared" si="52"/>
        <v>-3.1499156713610477E-2</v>
      </c>
      <c r="T89" s="24">
        <f t="shared" si="52"/>
        <v>-1.8229451940273811E-2</v>
      </c>
      <c r="U89" s="24">
        <f t="shared" si="52"/>
        <v>-7.8461019039093305E-3</v>
      </c>
      <c r="V89" s="24">
        <f t="shared" si="52"/>
        <v>7.41607374536013E-3</v>
      </c>
      <c r="AA89" s="24">
        <f>IFERROR(AA88/Z88-1,"")</f>
        <v>3.0881256967946413E-2</v>
      </c>
      <c r="AB89" s="24">
        <f>IFERROR(AB88/AA88-1,"")</f>
        <v>-2.8999550245240591E-2</v>
      </c>
      <c r="AC89" s="24">
        <f>IFERROR(AC88/AB88-1,"")</f>
        <v>-4.0886067070829868E-2</v>
      </c>
      <c r="AD89" s="24">
        <f>IFERROR(AD88/AC88-1,"")</f>
        <v>1.5210379388838957E-2</v>
      </c>
      <c r="AE89" s="24">
        <f>IFERROR(AE88/AD88-1,"")</f>
        <v>2.6939156346974524E-3</v>
      </c>
    </row>
    <row r="91" spans="2:31" x14ac:dyDescent="0.2">
      <c r="C91" s="19" t="s">
        <v>80</v>
      </c>
      <c r="G91" s="45">
        <v>0</v>
      </c>
      <c r="H91" s="45">
        <v>50</v>
      </c>
      <c r="I91" s="45">
        <v>150</v>
      </c>
      <c r="J91" s="45">
        <v>200</v>
      </c>
      <c r="K91" s="45">
        <v>275</v>
      </c>
      <c r="L91" s="45">
        <v>335</v>
      </c>
      <c r="M91" s="45">
        <v>400</v>
      </c>
      <c r="N91" s="45">
        <v>425</v>
      </c>
      <c r="O91" s="45">
        <v>475</v>
      </c>
      <c r="P91" s="45">
        <v>575</v>
      </c>
      <c r="Q91" s="45">
        <v>650</v>
      </c>
      <c r="R91" s="45">
        <v>725</v>
      </c>
      <c r="S91" s="45">
        <v>825</v>
      </c>
      <c r="T91" s="45">
        <v>925</v>
      </c>
      <c r="U91" s="45">
        <v>1050</v>
      </c>
      <c r="V91" s="45">
        <v>1175</v>
      </c>
      <c r="Y91" s="45">
        <v>0</v>
      </c>
      <c r="Z91" s="45">
        <v>400</v>
      </c>
      <c r="AA91" s="45">
        <v>725</v>
      </c>
      <c r="AB91" s="45">
        <v>1175</v>
      </c>
      <c r="AC91" s="45">
        <v>1700</v>
      </c>
      <c r="AD91" s="45">
        <v>2200</v>
      </c>
      <c r="AE91" s="45">
        <v>2700</v>
      </c>
    </row>
    <row r="95" spans="2:31" ht="16" x14ac:dyDescent="0.2">
      <c r="B95" s="25" t="s">
        <v>81</v>
      </c>
      <c r="C95" s="25"/>
      <c r="D95" s="25"/>
      <c r="E95" s="25"/>
      <c r="F95" s="25"/>
      <c r="G95" s="25"/>
      <c r="H95" s="25"/>
      <c r="I95" s="25"/>
      <c r="J95" s="25"/>
      <c r="K95" s="25"/>
      <c r="L95" s="25"/>
      <c r="M95" s="25"/>
      <c r="N95" s="25"/>
      <c r="O95" s="25"/>
      <c r="P95" s="25"/>
      <c r="Q95" s="25"/>
      <c r="R95" s="25"/>
      <c r="S95" s="25"/>
      <c r="T95" s="25"/>
      <c r="U95" s="25"/>
      <c r="V95" s="25"/>
      <c r="X95" s="25"/>
      <c r="Y95" s="25"/>
      <c r="Z95" s="25"/>
      <c r="AA95" s="25"/>
      <c r="AB95" s="25"/>
      <c r="AC95" s="25"/>
      <c r="AD95" s="25"/>
      <c r="AE95" s="25"/>
    </row>
    <row r="96" spans="2:31" x14ac:dyDescent="0.2">
      <c r="C96" s="9" t="s">
        <v>82</v>
      </c>
    </row>
    <row r="97" spans="1:31" x14ac:dyDescent="0.2">
      <c r="A97" s="1" t="s">
        <v>29</v>
      </c>
      <c r="D97" s="19" t="s">
        <v>83</v>
      </c>
      <c r="G97" s="11"/>
      <c r="H97" s="11"/>
      <c r="I97" s="11"/>
      <c r="J97" s="10">
        <v>318.16000000000003</v>
      </c>
      <c r="K97" s="10">
        <v>868.28399999999999</v>
      </c>
      <c r="L97" s="10">
        <v>445.02600000000001</v>
      </c>
      <c r="M97" s="10">
        <v>466.25200000000001</v>
      </c>
      <c r="N97" s="10">
        <v>607.67700000000002</v>
      </c>
      <c r="O97" s="29">
        <f t="shared" ref="O97:V97" si="53">N97+O231</f>
        <v>660.42020040324996</v>
      </c>
      <c r="P97" s="29">
        <f t="shared" si="53"/>
        <v>725.75899804799985</v>
      </c>
      <c r="Q97" s="29">
        <f t="shared" si="53"/>
        <v>787.21449175499981</v>
      </c>
      <c r="R97" s="29">
        <f t="shared" si="53"/>
        <v>864.64205722649979</v>
      </c>
      <c r="S97" s="29">
        <f t="shared" si="53"/>
        <v>976.62146836687475</v>
      </c>
      <c r="T97" s="29">
        <f t="shared" si="53"/>
        <v>1085.1429237942496</v>
      </c>
      <c r="U97" s="29">
        <f t="shared" si="53"/>
        <v>1188.3690553137494</v>
      </c>
      <c r="V97" s="29">
        <f t="shared" si="53"/>
        <v>1305.7119135442492</v>
      </c>
      <c r="X97" s="11"/>
      <c r="Y97" s="10">
        <v>337.697</v>
      </c>
      <c r="Z97" s="10">
        <v>466.25200000000001</v>
      </c>
      <c r="AA97" s="29">
        <f t="shared" ref="AA97:AA104" si="54">R97</f>
        <v>864.64205722649979</v>
      </c>
      <c r="AB97" s="29">
        <f t="shared" ref="AB97:AB104" si="55">V97</f>
        <v>1305.7119135442492</v>
      </c>
      <c r="AC97" s="29">
        <f>AB97+AC231</f>
        <v>228.63917188324899</v>
      </c>
      <c r="AD97" s="29">
        <f>AC97+AD231</f>
        <v>703.38531325712438</v>
      </c>
      <c r="AE97" s="29">
        <f>AD97+AE231</f>
        <v>1364.5608642860388</v>
      </c>
    </row>
    <row r="98" spans="1:31" x14ac:dyDescent="0.2">
      <c r="D98" s="19" t="s">
        <v>84</v>
      </c>
      <c r="G98" s="11"/>
      <c r="H98" s="11"/>
      <c r="I98" s="11"/>
      <c r="J98" s="23">
        <v>12.664</v>
      </c>
      <c r="K98" s="23">
        <v>13.515000000000001</v>
      </c>
      <c r="L98" s="23">
        <v>13.676</v>
      </c>
      <c r="M98" s="23">
        <v>14.507999999999999</v>
      </c>
      <c r="N98" s="23">
        <v>14.51</v>
      </c>
      <c r="O98" s="34">
        <f t="shared" ref="O98:V99" si="56">N98</f>
        <v>14.51</v>
      </c>
      <c r="P98" s="34">
        <f t="shared" si="56"/>
        <v>14.51</v>
      </c>
      <c r="Q98" s="34">
        <f t="shared" si="56"/>
        <v>14.51</v>
      </c>
      <c r="R98" s="34">
        <f t="shared" si="56"/>
        <v>14.51</v>
      </c>
      <c r="S98" s="34">
        <f t="shared" si="56"/>
        <v>14.51</v>
      </c>
      <c r="T98" s="34">
        <f t="shared" si="56"/>
        <v>14.51</v>
      </c>
      <c r="U98" s="34">
        <f t="shared" si="56"/>
        <v>14.51</v>
      </c>
      <c r="V98" s="34">
        <f t="shared" si="56"/>
        <v>14.51</v>
      </c>
      <c r="X98" s="11"/>
      <c r="Y98" s="23">
        <v>12.303000000000001</v>
      </c>
      <c r="Z98" s="23">
        <v>14.507999999999999</v>
      </c>
      <c r="AA98" s="34">
        <f t="shared" si="54"/>
        <v>14.51</v>
      </c>
      <c r="AB98" s="34">
        <f t="shared" si="55"/>
        <v>14.51</v>
      </c>
      <c r="AC98" s="34">
        <f t="shared" ref="AC98:AE99" si="57">AB98</f>
        <v>14.51</v>
      </c>
      <c r="AD98" s="34">
        <f t="shared" si="57"/>
        <v>14.51</v>
      </c>
      <c r="AE98" s="34">
        <f t="shared" si="57"/>
        <v>14.51</v>
      </c>
    </row>
    <row r="99" spans="1:31" x14ac:dyDescent="0.2">
      <c r="D99" s="19" t="s">
        <v>85</v>
      </c>
      <c r="G99" s="11"/>
      <c r="H99" s="11"/>
      <c r="I99" s="11"/>
      <c r="J99" s="23">
        <v>336.46699999999998</v>
      </c>
      <c r="K99" s="23">
        <v>225.06299999999999</v>
      </c>
      <c r="L99" s="23">
        <v>633.73800000000006</v>
      </c>
      <c r="M99" s="23">
        <v>587.82799999999997</v>
      </c>
      <c r="N99" s="23">
        <v>403.60500000000002</v>
      </c>
      <c r="O99" s="34">
        <f t="shared" si="56"/>
        <v>403.60500000000002</v>
      </c>
      <c r="P99" s="34">
        <f t="shared" si="56"/>
        <v>403.60500000000002</v>
      </c>
      <c r="Q99" s="34">
        <f t="shared" si="56"/>
        <v>403.60500000000002</v>
      </c>
      <c r="R99" s="34">
        <f t="shared" si="56"/>
        <v>403.60500000000002</v>
      </c>
      <c r="S99" s="34">
        <f t="shared" si="56"/>
        <v>403.60500000000002</v>
      </c>
      <c r="T99" s="34">
        <f t="shared" si="56"/>
        <v>403.60500000000002</v>
      </c>
      <c r="U99" s="34">
        <f t="shared" si="56"/>
        <v>403.60500000000002</v>
      </c>
      <c r="V99" s="34">
        <f t="shared" si="56"/>
        <v>403.60500000000002</v>
      </c>
      <c r="X99" s="11"/>
      <c r="Y99" s="23">
        <v>368.88900000000001</v>
      </c>
      <c r="Z99" s="23">
        <v>587.82799999999997</v>
      </c>
      <c r="AA99" s="34">
        <f t="shared" si="54"/>
        <v>403.60500000000002</v>
      </c>
      <c r="AB99" s="34">
        <f t="shared" si="55"/>
        <v>403.60500000000002</v>
      </c>
      <c r="AC99" s="34">
        <f t="shared" si="57"/>
        <v>403.60500000000002</v>
      </c>
      <c r="AD99" s="34">
        <f t="shared" si="57"/>
        <v>403.60500000000002</v>
      </c>
      <c r="AE99" s="34">
        <f t="shared" si="57"/>
        <v>403.60500000000002</v>
      </c>
    </row>
    <row r="100" spans="1:31" x14ac:dyDescent="0.2">
      <c r="D100" s="19" t="s">
        <v>86</v>
      </c>
      <c r="G100" s="11"/>
      <c r="H100" s="11"/>
      <c r="I100" s="11"/>
      <c r="J100" s="23">
        <v>177.572</v>
      </c>
      <c r="K100" s="23">
        <v>212.983</v>
      </c>
      <c r="L100" s="23">
        <v>228.95500000000001</v>
      </c>
      <c r="M100" s="23">
        <v>251.20400000000001</v>
      </c>
      <c r="N100" s="23">
        <v>231.477</v>
      </c>
      <c r="O100" s="34">
        <f t="shared" ref="O100:V100" si="58">O172*O10</f>
        <v>230.18057999999999</v>
      </c>
      <c r="P100" s="34">
        <f t="shared" si="58"/>
        <v>238.91111999999998</v>
      </c>
      <c r="Q100" s="34">
        <f t="shared" si="58"/>
        <v>257.6574</v>
      </c>
      <c r="R100" s="34">
        <f t="shared" si="58"/>
        <v>273.48560999999995</v>
      </c>
      <c r="S100" s="34">
        <f t="shared" si="58"/>
        <v>274.82354999999995</v>
      </c>
      <c r="T100" s="34">
        <f t="shared" si="58"/>
        <v>284.51736</v>
      </c>
      <c r="U100" s="34">
        <f t="shared" si="58"/>
        <v>305.56889999999993</v>
      </c>
      <c r="V100" s="34">
        <f t="shared" si="58"/>
        <v>324.39528000000001</v>
      </c>
      <c r="X100" s="11"/>
      <c r="Y100" s="23">
        <v>181.72300000000001</v>
      </c>
      <c r="Z100" s="23">
        <v>251.20400000000001</v>
      </c>
      <c r="AA100" s="34">
        <f t="shared" si="54"/>
        <v>273.48560999999995</v>
      </c>
      <c r="AB100" s="34">
        <f t="shared" si="55"/>
        <v>324.39528000000001</v>
      </c>
      <c r="AC100" s="34">
        <f>AC172*AC10</f>
        <v>1336.90176</v>
      </c>
      <c r="AD100" s="34">
        <f>AD172*AD10</f>
        <v>1589.2802099999994</v>
      </c>
      <c r="AE100" s="34">
        <f>AE172*AE10</f>
        <v>1870.1301384000001</v>
      </c>
    </row>
    <row r="101" spans="1:31" x14ac:dyDescent="0.2">
      <c r="D101" s="19" t="s">
        <v>87</v>
      </c>
      <c r="G101" s="11"/>
      <c r="H101" s="11"/>
      <c r="I101" s="11"/>
      <c r="J101" s="23">
        <v>241.65700000000001</v>
      </c>
      <c r="K101" s="23">
        <v>229.59399999999999</v>
      </c>
      <c r="L101" s="23">
        <v>237.65199999999999</v>
      </c>
      <c r="M101" s="23">
        <v>257.88400000000001</v>
      </c>
      <c r="N101" s="23">
        <v>294.33800000000002</v>
      </c>
      <c r="O101" s="34">
        <f t="shared" ref="O101:V101" si="59">O169*O10</f>
        <v>287.72572500000001</v>
      </c>
      <c r="P101" s="34">
        <f t="shared" si="59"/>
        <v>292.00247999999999</v>
      </c>
      <c r="Q101" s="34">
        <f t="shared" si="59"/>
        <v>307.75745000000001</v>
      </c>
      <c r="R101" s="34">
        <f t="shared" si="59"/>
        <v>326.66336749999999</v>
      </c>
      <c r="S101" s="34">
        <f t="shared" si="59"/>
        <v>320.62747499999995</v>
      </c>
      <c r="T101" s="34">
        <f t="shared" si="59"/>
        <v>324.03366</v>
      </c>
      <c r="U101" s="34">
        <f t="shared" si="59"/>
        <v>339.52099999999996</v>
      </c>
      <c r="V101" s="34">
        <f t="shared" si="59"/>
        <v>360.43920000000003</v>
      </c>
      <c r="X101" s="11"/>
      <c r="Y101" s="23">
        <v>216.161</v>
      </c>
      <c r="Z101" s="23">
        <v>257.88400000000001</v>
      </c>
      <c r="AA101" s="34">
        <f t="shared" si="54"/>
        <v>326.66336749999999</v>
      </c>
      <c r="AB101" s="34">
        <f t="shared" si="55"/>
        <v>360.43920000000003</v>
      </c>
      <c r="AC101" s="34">
        <f>AC169*AC10</f>
        <v>1448.31024</v>
      </c>
      <c r="AD101" s="34">
        <f>AD169*AD10</f>
        <v>1633.4268824999995</v>
      </c>
      <c r="AE101" s="34">
        <f>AE169*AE10</f>
        <v>1870.1301384000001</v>
      </c>
    </row>
    <row r="102" spans="1:31" x14ac:dyDescent="0.2">
      <c r="D102" s="19" t="s">
        <v>88</v>
      </c>
      <c r="G102" s="11"/>
      <c r="H102" s="11"/>
      <c r="I102" s="11"/>
      <c r="J102" s="23">
        <v>100.10599999999999</v>
      </c>
      <c r="K102" s="23">
        <v>114.12</v>
      </c>
      <c r="L102" s="23">
        <v>108.996</v>
      </c>
      <c r="M102" s="23">
        <v>71.581000000000003</v>
      </c>
      <c r="N102" s="23">
        <v>105.815</v>
      </c>
      <c r="O102" s="34">
        <f t="shared" ref="O102:V102" si="60">O171*O10</f>
        <v>105.4994325</v>
      </c>
      <c r="P102" s="34">
        <f t="shared" si="60"/>
        <v>112.81914</v>
      </c>
      <c r="Q102" s="34">
        <f t="shared" si="60"/>
        <v>125.250125</v>
      </c>
      <c r="R102" s="34">
        <f t="shared" si="60"/>
        <v>136.74280499999998</v>
      </c>
      <c r="S102" s="34">
        <f t="shared" si="60"/>
        <v>137.41177499999998</v>
      </c>
      <c r="T102" s="34">
        <f t="shared" si="60"/>
        <v>142.25868</v>
      </c>
      <c r="U102" s="34">
        <f t="shared" si="60"/>
        <v>152.78444999999996</v>
      </c>
      <c r="V102" s="34">
        <f t="shared" si="60"/>
        <v>162.19764000000001</v>
      </c>
      <c r="X102" s="11"/>
      <c r="Y102" s="23">
        <v>99.799000000000007</v>
      </c>
      <c r="Z102" s="23">
        <v>71.581000000000003</v>
      </c>
      <c r="AA102" s="34">
        <f t="shared" si="54"/>
        <v>136.74280499999998</v>
      </c>
      <c r="AB102" s="34">
        <f t="shared" si="55"/>
        <v>162.19764000000001</v>
      </c>
      <c r="AC102" s="34">
        <f>AC171*AC10</f>
        <v>668.45087999999998</v>
      </c>
      <c r="AD102" s="34">
        <f>AD171*AD10</f>
        <v>772.56676874999971</v>
      </c>
      <c r="AE102" s="34">
        <f>AE171*AE10</f>
        <v>909.09103949999997</v>
      </c>
    </row>
    <row r="103" spans="1:31" x14ac:dyDescent="0.2">
      <c r="D103" s="19" t="s">
        <v>89</v>
      </c>
      <c r="G103" s="11"/>
      <c r="H103" s="11"/>
      <c r="I103" s="11"/>
      <c r="J103" s="23">
        <v>79.203999999999994</v>
      </c>
      <c r="K103" s="23">
        <v>72.52</v>
      </c>
      <c r="L103" s="23">
        <v>90.853999999999999</v>
      </c>
      <c r="M103" s="23">
        <v>106.753</v>
      </c>
      <c r="N103" s="23">
        <v>86.838999999999999</v>
      </c>
      <c r="O103" s="34">
        <f t="shared" ref="O103:V103" si="61">O170*O10</f>
        <v>86.317717500000001</v>
      </c>
      <c r="P103" s="34">
        <f t="shared" si="61"/>
        <v>86.27346</v>
      </c>
      <c r="Q103" s="34">
        <f t="shared" si="61"/>
        <v>93.042950000000005</v>
      </c>
      <c r="R103" s="34">
        <f t="shared" si="61"/>
        <v>97.239328</v>
      </c>
      <c r="S103" s="34">
        <f t="shared" si="61"/>
        <v>95.424843749999994</v>
      </c>
      <c r="T103" s="34">
        <f t="shared" si="61"/>
        <v>96.419771999999995</v>
      </c>
      <c r="U103" s="34">
        <f t="shared" si="61"/>
        <v>101.85629999999999</v>
      </c>
      <c r="V103" s="34">
        <f t="shared" si="61"/>
        <v>106.329564</v>
      </c>
      <c r="X103" s="11"/>
      <c r="Y103" s="23">
        <v>70.463999999999999</v>
      </c>
      <c r="Z103" s="23">
        <v>106.753</v>
      </c>
      <c r="AA103" s="34">
        <f t="shared" si="54"/>
        <v>97.239328</v>
      </c>
      <c r="AB103" s="34">
        <f t="shared" si="55"/>
        <v>106.329564</v>
      </c>
      <c r="AC103" s="34">
        <f>AC170*AC10</f>
        <v>438.20668799999999</v>
      </c>
      <c r="AD103" s="34">
        <f>AD170*AD10</f>
        <v>507.68673374999986</v>
      </c>
      <c r="AE103" s="34">
        <f>AE170*AE10</f>
        <v>581.81826527999999</v>
      </c>
    </row>
    <row r="104" spans="1:31" x14ac:dyDescent="0.2">
      <c r="A104" s="1" t="s">
        <v>29</v>
      </c>
      <c r="C104" s="2" t="s">
        <v>90</v>
      </c>
      <c r="G104" s="20">
        <f t="shared" ref="G104:V104" si="62">SUM(G97:G103)</f>
        <v>0</v>
      </c>
      <c r="H104" s="20">
        <f t="shared" si="62"/>
        <v>0</v>
      </c>
      <c r="I104" s="20">
        <f t="shared" si="62"/>
        <v>0</v>
      </c>
      <c r="J104" s="20">
        <f t="shared" si="62"/>
        <v>1265.83</v>
      </c>
      <c r="K104" s="20">
        <f t="shared" si="62"/>
        <v>1736.0790000000002</v>
      </c>
      <c r="L104" s="20">
        <f t="shared" si="62"/>
        <v>1758.8970000000002</v>
      </c>
      <c r="M104" s="20">
        <f t="shared" si="62"/>
        <v>1756.0099999999998</v>
      </c>
      <c r="N104" s="20">
        <f t="shared" si="62"/>
        <v>1744.261</v>
      </c>
      <c r="O104" s="20">
        <f t="shared" si="62"/>
        <v>1788.25865540325</v>
      </c>
      <c r="P104" s="20">
        <f t="shared" si="62"/>
        <v>1873.8801980479998</v>
      </c>
      <c r="Q104" s="20">
        <f t="shared" si="62"/>
        <v>1989.0374167549999</v>
      </c>
      <c r="R104" s="20">
        <f t="shared" si="62"/>
        <v>2116.8881677264999</v>
      </c>
      <c r="S104" s="20">
        <f t="shared" si="62"/>
        <v>2223.0241121168747</v>
      </c>
      <c r="T104" s="20">
        <f t="shared" si="62"/>
        <v>2350.4873957942496</v>
      </c>
      <c r="U104" s="20">
        <f t="shared" si="62"/>
        <v>2506.2147053137492</v>
      </c>
      <c r="V104" s="20">
        <f t="shared" si="62"/>
        <v>2677.1885975442492</v>
      </c>
      <c r="X104" s="20">
        <f>SUM(X97:X103)</f>
        <v>0</v>
      </c>
      <c r="Y104" s="20">
        <f>SUM(Y97:Y103)</f>
        <v>1287.0360000000001</v>
      </c>
      <c r="Z104" s="20">
        <f>SUM(Z97:Z103)</f>
        <v>1756.0099999999998</v>
      </c>
      <c r="AA104" s="20">
        <f t="shared" si="54"/>
        <v>2116.8881677264999</v>
      </c>
      <c r="AB104" s="20">
        <f t="shared" si="55"/>
        <v>2677.1885975442492</v>
      </c>
      <c r="AC104" s="20">
        <f>SUM(AC97:AC103)</f>
        <v>4538.6237398832491</v>
      </c>
      <c r="AD104" s="20">
        <f>SUM(AD97:AD103)</f>
        <v>5624.4609082571224</v>
      </c>
      <c r="AE104" s="20">
        <f>SUM(AE97:AE103)</f>
        <v>7013.845445866039</v>
      </c>
    </row>
    <row r="105" spans="1:31" x14ac:dyDescent="0.2">
      <c r="D105" s="9" t="s">
        <v>33</v>
      </c>
      <c r="G105" s="21">
        <f>G104-_reported!G19</f>
        <v>0</v>
      </c>
      <c r="H105" s="21">
        <f>H104-_reported!H19</f>
        <v>0</v>
      </c>
      <c r="I105" s="21">
        <f>I104-_reported!I19</f>
        <v>0</v>
      </c>
      <c r="J105" s="21">
        <f>J104-_reported!J19</f>
        <v>0</v>
      </c>
      <c r="K105" s="21">
        <f>K104-_reported!K19</f>
        <v>0</v>
      </c>
      <c r="L105" s="21">
        <f>L104-_reported!L19</f>
        <v>0</v>
      </c>
      <c r="M105" s="21">
        <f>M104-_reported!M19</f>
        <v>0</v>
      </c>
      <c r="N105" s="21">
        <f>N104-_reported!N19</f>
        <v>0</v>
      </c>
      <c r="X105" s="21">
        <f>X104-_reported!X19</f>
        <v>0</v>
      </c>
      <c r="Y105" s="21">
        <f>Y104-_reported!Y19</f>
        <v>0</v>
      </c>
      <c r="Z105" s="21">
        <f>Z104-_reported!Z19</f>
        <v>0</v>
      </c>
    </row>
    <row r="107" spans="1:31" x14ac:dyDescent="0.2">
      <c r="D107" s="19" t="s">
        <v>91</v>
      </c>
      <c r="G107" s="11"/>
      <c r="H107" s="11"/>
      <c r="I107" s="11"/>
      <c r="J107" s="10">
        <v>90.697999999999993</v>
      </c>
      <c r="K107" s="10">
        <v>89.100999999999999</v>
      </c>
      <c r="L107" s="10">
        <v>86.48</v>
      </c>
      <c r="M107" s="10">
        <v>94.32</v>
      </c>
      <c r="N107" s="10">
        <v>94.635999999999996</v>
      </c>
      <c r="O107" s="29">
        <f t="shared" ref="O107:V107" si="63">N107-O241+O22</f>
        <v>98.15264775</v>
      </c>
      <c r="P107" s="29">
        <f t="shared" si="63"/>
        <v>101.80267875</v>
      </c>
      <c r="Q107" s="29">
        <f t="shared" si="63"/>
        <v>105.73911124999999</v>
      </c>
      <c r="R107" s="29">
        <f t="shared" si="63"/>
        <v>109.91736362499999</v>
      </c>
      <c r="S107" s="29">
        <f t="shared" si="63"/>
        <v>114.11605675</v>
      </c>
      <c r="T107" s="29">
        <f t="shared" si="63"/>
        <v>118.46284975</v>
      </c>
      <c r="U107" s="29">
        <f t="shared" si="63"/>
        <v>123.1312635</v>
      </c>
      <c r="V107" s="29">
        <f t="shared" si="63"/>
        <v>128.08730250000002</v>
      </c>
      <c r="X107" s="11"/>
      <c r="Y107" s="10">
        <v>92.7</v>
      </c>
      <c r="Z107" s="10">
        <v>94.32</v>
      </c>
      <c r="AA107" s="29">
        <f>R107</f>
        <v>109.91736362499999</v>
      </c>
      <c r="AB107" s="29">
        <f>V107</f>
        <v>128.08730250000002</v>
      </c>
      <c r="AC107" s="29">
        <f>AB107-AC241+AC22</f>
        <v>155.93942250000003</v>
      </c>
      <c r="AD107" s="29">
        <f>AC107-AD241+AD22</f>
        <v>189.04942687500005</v>
      </c>
      <c r="AE107" s="29">
        <f>AD107-AE241+AE22</f>
        <v>233.20527736500003</v>
      </c>
    </row>
    <row r="108" spans="1:31" x14ac:dyDescent="0.2">
      <c r="D108" s="19" t="s">
        <v>92</v>
      </c>
      <c r="G108" s="11"/>
      <c r="H108" s="11"/>
      <c r="I108" s="11"/>
      <c r="J108" s="23">
        <v>47.098999999999997</v>
      </c>
      <c r="K108" s="23">
        <v>45.575000000000003</v>
      </c>
      <c r="L108" s="23">
        <v>85.652000000000001</v>
      </c>
      <c r="M108" s="23">
        <v>83.429000000000002</v>
      </c>
      <c r="N108" s="23">
        <v>81.078000000000003</v>
      </c>
      <c r="O108" s="34">
        <f t="shared" ref="O108:V109" si="64">N108</f>
        <v>81.078000000000003</v>
      </c>
      <c r="P108" s="34">
        <f t="shared" si="64"/>
        <v>81.078000000000003</v>
      </c>
      <c r="Q108" s="34">
        <f t="shared" si="64"/>
        <v>81.078000000000003</v>
      </c>
      <c r="R108" s="34">
        <f t="shared" si="64"/>
        <v>81.078000000000003</v>
      </c>
      <c r="S108" s="34">
        <f t="shared" si="64"/>
        <v>81.078000000000003</v>
      </c>
      <c r="T108" s="34">
        <f t="shared" si="64"/>
        <v>81.078000000000003</v>
      </c>
      <c r="U108" s="34">
        <f t="shared" si="64"/>
        <v>81.078000000000003</v>
      </c>
      <c r="V108" s="34">
        <f t="shared" si="64"/>
        <v>81.078000000000003</v>
      </c>
      <c r="X108" s="11"/>
      <c r="Y108" s="23">
        <v>49.332000000000001</v>
      </c>
      <c r="Z108" s="23">
        <v>83.429000000000002</v>
      </c>
      <c r="AA108" s="34">
        <f>R108</f>
        <v>81.078000000000003</v>
      </c>
      <c r="AB108" s="34">
        <f>V108</f>
        <v>81.078000000000003</v>
      </c>
      <c r="AC108" s="34">
        <f t="shared" ref="AC108:AE109" si="65">AB108</f>
        <v>81.078000000000003</v>
      </c>
      <c r="AD108" s="34">
        <f t="shared" si="65"/>
        <v>81.078000000000003</v>
      </c>
      <c r="AE108" s="34">
        <f t="shared" si="65"/>
        <v>81.078000000000003</v>
      </c>
    </row>
    <row r="109" spans="1:31" x14ac:dyDescent="0.2">
      <c r="D109" s="19" t="s">
        <v>93</v>
      </c>
      <c r="G109" s="11"/>
      <c r="H109" s="11"/>
      <c r="I109" s="11"/>
      <c r="J109" s="23">
        <v>32.372</v>
      </c>
      <c r="K109" s="23">
        <v>31.719000000000001</v>
      </c>
      <c r="L109" s="23">
        <v>31.282</v>
      </c>
      <c r="M109" s="23">
        <v>30.846</v>
      </c>
      <c r="N109" s="23">
        <v>30.408000000000001</v>
      </c>
      <c r="O109" s="34">
        <f t="shared" si="64"/>
        <v>30.408000000000001</v>
      </c>
      <c r="P109" s="34">
        <f t="shared" si="64"/>
        <v>30.408000000000001</v>
      </c>
      <c r="Q109" s="34">
        <f t="shared" si="64"/>
        <v>30.408000000000001</v>
      </c>
      <c r="R109" s="34">
        <f t="shared" si="64"/>
        <v>30.408000000000001</v>
      </c>
      <c r="S109" s="34">
        <f t="shared" si="64"/>
        <v>30.408000000000001</v>
      </c>
      <c r="T109" s="34">
        <f t="shared" si="64"/>
        <v>30.408000000000001</v>
      </c>
      <c r="U109" s="34">
        <f t="shared" si="64"/>
        <v>30.408000000000001</v>
      </c>
      <c r="V109" s="34">
        <f t="shared" si="64"/>
        <v>30.408000000000001</v>
      </c>
      <c r="X109" s="11"/>
      <c r="Y109" s="23">
        <v>31.969000000000001</v>
      </c>
      <c r="Z109" s="23">
        <v>30.846</v>
      </c>
      <c r="AA109" s="34">
        <f>R109</f>
        <v>30.408000000000001</v>
      </c>
      <c r="AB109" s="34">
        <f>V109</f>
        <v>30.408000000000001</v>
      </c>
      <c r="AC109" s="34">
        <f t="shared" si="65"/>
        <v>30.408000000000001</v>
      </c>
      <c r="AD109" s="34">
        <f t="shared" si="65"/>
        <v>30.408000000000001</v>
      </c>
      <c r="AE109" s="34">
        <f t="shared" si="65"/>
        <v>30.408000000000001</v>
      </c>
    </row>
    <row r="111" spans="1:31" x14ac:dyDescent="0.2">
      <c r="A111" s="1" t="s">
        <v>29</v>
      </c>
      <c r="B111" s="2" t="s">
        <v>94</v>
      </c>
      <c r="G111" s="20">
        <f t="shared" ref="G111:V111" si="66">G104+G107+G108+G109</f>
        <v>0</v>
      </c>
      <c r="H111" s="20">
        <f t="shared" si="66"/>
        <v>0</v>
      </c>
      <c r="I111" s="20">
        <f t="shared" si="66"/>
        <v>0</v>
      </c>
      <c r="J111" s="20">
        <f t="shared" si="66"/>
        <v>1435.999</v>
      </c>
      <c r="K111" s="20">
        <f t="shared" si="66"/>
        <v>1902.4740000000004</v>
      </c>
      <c r="L111" s="20">
        <f t="shared" si="66"/>
        <v>1962.3110000000001</v>
      </c>
      <c r="M111" s="20">
        <f t="shared" si="66"/>
        <v>1964.6049999999998</v>
      </c>
      <c r="N111" s="20">
        <f t="shared" si="66"/>
        <v>1950.3829999999998</v>
      </c>
      <c r="O111" s="20">
        <f t="shared" si="66"/>
        <v>1997.8973031532498</v>
      </c>
      <c r="P111" s="20">
        <f t="shared" si="66"/>
        <v>2087.1688767979999</v>
      </c>
      <c r="Q111" s="20">
        <f t="shared" si="66"/>
        <v>2206.2625280049997</v>
      </c>
      <c r="R111" s="20">
        <f t="shared" si="66"/>
        <v>2338.2915313514995</v>
      </c>
      <c r="S111" s="20">
        <f t="shared" si="66"/>
        <v>2448.6261688668747</v>
      </c>
      <c r="T111" s="20">
        <f t="shared" si="66"/>
        <v>2580.4362455442492</v>
      </c>
      <c r="U111" s="20">
        <f t="shared" si="66"/>
        <v>2740.831968813749</v>
      </c>
      <c r="V111" s="20">
        <f t="shared" si="66"/>
        <v>2916.7619000442492</v>
      </c>
      <c r="X111" s="20">
        <f>X104+X107+X108+X109</f>
        <v>0</v>
      </c>
      <c r="Y111" s="20">
        <f>Y104+Y107+Y108+Y109</f>
        <v>1461.0370000000003</v>
      </c>
      <c r="Z111" s="20">
        <f>Z104+Z107+Z108+Z109</f>
        <v>1964.6049999999998</v>
      </c>
      <c r="AA111" s="20">
        <f>R111</f>
        <v>2338.2915313514995</v>
      </c>
      <c r="AB111" s="20">
        <f>V111</f>
        <v>2916.7619000442492</v>
      </c>
      <c r="AC111" s="20">
        <f>AC104+AC107+AC108+AC109</f>
        <v>4806.0491623832495</v>
      </c>
      <c r="AD111" s="20">
        <f>AD104+AD107+AD108+AD109</f>
        <v>5924.996335132123</v>
      </c>
      <c r="AE111" s="20">
        <f>AE104+AE107+AE108+AE109</f>
        <v>7358.53672323104</v>
      </c>
    </row>
    <row r="112" spans="1:31" x14ac:dyDescent="0.2">
      <c r="D112" s="9" t="s">
        <v>33</v>
      </c>
      <c r="G112" s="21">
        <f>G111-_reported!G20</f>
        <v>0</v>
      </c>
      <c r="H112" s="21">
        <f>H111-_reported!H20</f>
        <v>0</v>
      </c>
      <c r="I112" s="21">
        <f>I111-_reported!I20</f>
        <v>0</v>
      </c>
      <c r="J112" s="21">
        <f>J111-_reported!J20</f>
        <v>0</v>
      </c>
      <c r="K112" s="21">
        <f>K111-_reported!K20</f>
        <v>0</v>
      </c>
      <c r="L112" s="21">
        <f>L111-_reported!L20</f>
        <v>0</v>
      </c>
      <c r="M112" s="21">
        <f>M111-_reported!M20</f>
        <v>0</v>
      </c>
      <c r="N112" s="21">
        <f>N111-_reported!N20</f>
        <v>0</v>
      </c>
      <c r="X112" s="21">
        <f>X111-_reported!X20</f>
        <v>0</v>
      </c>
      <c r="Y112" s="21">
        <f>Y111-_reported!Y20</f>
        <v>0</v>
      </c>
      <c r="Z112" s="21">
        <f>Z111-_reported!Z20</f>
        <v>0</v>
      </c>
    </row>
    <row r="115" spans="1:31" x14ac:dyDescent="0.2">
      <c r="D115" s="19" t="s">
        <v>95</v>
      </c>
      <c r="G115" s="11"/>
      <c r="H115" s="11"/>
      <c r="I115" s="11"/>
      <c r="J115" s="10">
        <v>37.613999999999997</v>
      </c>
      <c r="K115" s="10">
        <v>51.8</v>
      </c>
      <c r="L115" s="10">
        <v>40.026000000000003</v>
      </c>
      <c r="M115" s="10">
        <v>38.68</v>
      </c>
      <c r="N115" s="10">
        <v>37.92</v>
      </c>
      <c r="O115" s="29">
        <f t="shared" ref="O115:V115" si="67">O174*(-O23)</f>
        <v>34.662318090750006</v>
      </c>
      <c r="P115" s="29">
        <f t="shared" si="67"/>
        <v>34.722744902999999</v>
      </c>
      <c r="Q115" s="29">
        <f t="shared" si="67"/>
        <v>36.455301382500004</v>
      </c>
      <c r="R115" s="29">
        <f t="shared" si="67"/>
        <v>37.833315573374996</v>
      </c>
      <c r="S115" s="29">
        <f t="shared" si="67"/>
        <v>37.826026363125003</v>
      </c>
      <c r="T115" s="29">
        <f t="shared" si="67"/>
        <v>38.015075763000006</v>
      </c>
      <c r="U115" s="29">
        <f t="shared" si="67"/>
        <v>39.75833350125</v>
      </c>
      <c r="V115" s="29">
        <f t="shared" si="67"/>
        <v>41.129266563000002</v>
      </c>
      <c r="X115" s="11"/>
      <c r="Y115" s="10">
        <v>35.845999999999997</v>
      </c>
      <c r="Z115" s="10">
        <v>38.68</v>
      </c>
      <c r="AA115" s="29">
        <f>R115</f>
        <v>37.833315573374996</v>
      </c>
      <c r="AB115" s="29">
        <f>V115</f>
        <v>41.129266563000002</v>
      </c>
      <c r="AC115" s="29">
        <f>AC174*(-AC23)</f>
        <v>168.80055847200001</v>
      </c>
      <c r="AD115" s="29">
        <f>AD174*(-AD23)</f>
        <v>189.26340700837497</v>
      </c>
      <c r="AE115" s="29">
        <f>AE174*(-AE23)</f>
        <v>209.29093911369003</v>
      </c>
    </row>
    <row r="116" spans="1:31" x14ac:dyDescent="0.2">
      <c r="D116" s="19" t="s">
        <v>96</v>
      </c>
      <c r="G116" s="11"/>
      <c r="H116" s="11"/>
      <c r="I116" s="11"/>
      <c r="J116" s="23">
        <v>171.25899999999999</v>
      </c>
      <c r="K116" s="23">
        <v>168.91900000000001</v>
      </c>
      <c r="L116" s="23">
        <v>181.58699999999999</v>
      </c>
      <c r="M116" s="23">
        <v>201.86199999999999</v>
      </c>
      <c r="N116" s="23">
        <v>185.03800000000001</v>
      </c>
      <c r="O116" s="34">
        <f t="shared" ref="O116:V116" si="68">O175*(-O23)</f>
        <v>170.56061282750002</v>
      </c>
      <c r="P116" s="34">
        <f t="shared" si="68"/>
        <v>170.85795110999999</v>
      </c>
      <c r="Q116" s="34">
        <f t="shared" si="68"/>
        <v>176.48995113750001</v>
      </c>
      <c r="R116" s="34">
        <f t="shared" si="68"/>
        <v>183.161289680625</v>
      </c>
      <c r="S116" s="34">
        <f t="shared" si="68"/>
        <v>180.12393506250001</v>
      </c>
      <c r="T116" s="34">
        <f t="shared" si="68"/>
        <v>181.02417030000004</v>
      </c>
      <c r="U116" s="34">
        <f t="shared" si="68"/>
        <v>186.16997433124999</v>
      </c>
      <c r="V116" s="34">
        <f t="shared" si="68"/>
        <v>189.32519528999998</v>
      </c>
      <c r="X116" s="11"/>
      <c r="Y116" s="23">
        <v>224.59399999999999</v>
      </c>
      <c r="Z116" s="23">
        <v>201.86199999999999</v>
      </c>
      <c r="AA116" s="34">
        <f>R116</f>
        <v>183.161289680625</v>
      </c>
      <c r="AB116" s="34">
        <f>V116</f>
        <v>189.32519528999998</v>
      </c>
      <c r="AC116" s="34">
        <f>AC175*(-AC23)</f>
        <v>790.4153134799999</v>
      </c>
      <c r="AD116" s="34">
        <f>AD175*(-AD23)</f>
        <v>871.21250845124973</v>
      </c>
      <c r="AE116" s="34">
        <f>AE175*(-AE23)</f>
        <v>946.79234360955002</v>
      </c>
    </row>
    <row r="117" spans="1:31" x14ac:dyDescent="0.2">
      <c r="D117" s="19" t="s">
        <v>97</v>
      </c>
      <c r="G117" s="11"/>
      <c r="H117" s="11"/>
      <c r="I117" s="11"/>
      <c r="J117" s="23">
        <v>124.672</v>
      </c>
      <c r="K117" s="23">
        <v>138.97900000000001</v>
      </c>
      <c r="L117" s="23">
        <v>134.30199999999999</v>
      </c>
      <c r="M117" s="23">
        <v>147.38200000000001</v>
      </c>
      <c r="N117" s="23">
        <v>121.14100000000001</v>
      </c>
      <c r="O117" s="34">
        <f t="shared" ref="O117:V117" si="69">O176*O10</f>
        <v>121.484195</v>
      </c>
      <c r="P117" s="34">
        <f t="shared" si="69"/>
        <v>126.09197999999999</v>
      </c>
      <c r="Q117" s="34">
        <f t="shared" si="69"/>
        <v>135.98585</v>
      </c>
      <c r="R117" s="34">
        <f t="shared" si="69"/>
        <v>144.33962750000001</v>
      </c>
      <c r="S117" s="34">
        <f t="shared" si="69"/>
        <v>145.0457625</v>
      </c>
      <c r="T117" s="34">
        <f t="shared" si="69"/>
        <v>150.16194000000002</v>
      </c>
      <c r="U117" s="34">
        <f t="shared" si="69"/>
        <v>161.27247499999999</v>
      </c>
      <c r="V117" s="34">
        <f t="shared" si="69"/>
        <v>171.20862000000002</v>
      </c>
      <c r="X117" s="11"/>
      <c r="Y117" s="23">
        <v>114.377</v>
      </c>
      <c r="Z117" s="23">
        <v>147.38200000000001</v>
      </c>
      <c r="AA117" s="34">
        <f>R117</f>
        <v>144.33962750000001</v>
      </c>
      <c r="AB117" s="34">
        <f>V117</f>
        <v>171.20862000000002</v>
      </c>
      <c r="AC117" s="34">
        <f>AC176*AC10</f>
        <v>668.45087999999998</v>
      </c>
      <c r="AD117" s="34">
        <f>AD176*AD10</f>
        <v>772.56676874999971</v>
      </c>
      <c r="AE117" s="34">
        <f>AE176*AE10</f>
        <v>883.11700980000012</v>
      </c>
    </row>
    <row r="118" spans="1:31" x14ac:dyDescent="0.2">
      <c r="A118" s="1" t="s">
        <v>29</v>
      </c>
      <c r="C118" s="2" t="s">
        <v>98</v>
      </c>
      <c r="G118" s="20">
        <f t="shared" ref="G118:V118" si="70">SUM(G115:G117)</f>
        <v>0</v>
      </c>
      <c r="H118" s="20">
        <f t="shared" si="70"/>
        <v>0</v>
      </c>
      <c r="I118" s="20">
        <f t="shared" si="70"/>
        <v>0</v>
      </c>
      <c r="J118" s="20">
        <f t="shared" si="70"/>
        <v>333.54499999999996</v>
      </c>
      <c r="K118" s="20">
        <f t="shared" si="70"/>
        <v>359.69799999999998</v>
      </c>
      <c r="L118" s="20">
        <f t="shared" si="70"/>
        <v>355.91499999999996</v>
      </c>
      <c r="M118" s="20">
        <f t="shared" si="70"/>
        <v>387.92399999999998</v>
      </c>
      <c r="N118" s="20">
        <f t="shared" si="70"/>
        <v>344.09900000000005</v>
      </c>
      <c r="O118" s="20">
        <f t="shared" si="70"/>
        <v>326.70712591825003</v>
      </c>
      <c r="P118" s="20">
        <f t="shared" si="70"/>
        <v>331.672676013</v>
      </c>
      <c r="Q118" s="20">
        <f t="shared" si="70"/>
        <v>348.93110252000002</v>
      </c>
      <c r="R118" s="20">
        <f t="shared" si="70"/>
        <v>365.33423275400003</v>
      </c>
      <c r="S118" s="20">
        <f t="shared" si="70"/>
        <v>362.99572392562504</v>
      </c>
      <c r="T118" s="20">
        <f t="shared" si="70"/>
        <v>369.20118606300002</v>
      </c>
      <c r="U118" s="20">
        <f t="shared" si="70"/>
        <v>387.20078283249995</v>
      </c>
      <c r="V118" s="20">
        <f t="shared" si="70"/>
        <v>401.66308185299999</v>
      </c>
      <c r="X118" s="20">
        <f>SUM(X115:X117)</f>
        <v>0</v>
      </c>
      <c r="Y118" s="20">
        <f>SUM(Y115:Y117)</f>
        <v>374.81700000000001</v>
      </c>
      <c r="Z118" s="20">
        <f>SUM(Z115:Z117)</f>
        <v>387.92399999999998</v>
      </c>
      <c r="AA118" s="20">
        <f>R118</f>
        <v>365.33423275400003</v>
      </c>
      <c r="AB118" s="20">
        <f>V118</f>
        <v>401.66308185299999</v>
      </c>
      <c r="AC118" s="20">
        <f>SUM(AC115:AC117)</f>
        <v>1627.6667519519999</v>
      </c>
      <c r="AD118" s="20">
        <f>SUM(AD115:AD117)</f>
        <v>1833.0426842096244</v>
      </c>
      <c r="AE118" s="20">
        <f>SUM(AE115:AE117)</f>
        <v>2039.20029252324</v>
      </c>
    </row>
    <row r="119" spans="1:31" x14ac:dyDescent="0.2">
      <c r="D119" s="9" t="s">
        <v>33</v>
      </c>
      <c r="G119" s="21">
        <f>G118-_reported!G21</f>
        <v>0</v>
      </c>
      <c r="H119" s="21">
        <f>H118-_reported!H21</f>
        <v>0</v>
      </c>
      <c r="I119" s="21">
        <f>I118-_reported!I21</f>
        <v>0</v>
      </c>
      <c r="J119" s="21">
        <f>J118-_reported!J21</f>
        <v>0</v>
      </c>
      <c r="K119" s="21">
        <f>K118-_reported!K21</f>
        <v>0</v>
      </c>
      <c r="L119" s="21">
        <f>L118-_reported!L21</f>
        <v>0</v>
      </c>
      <c r="M119" s="21">
        <f>M118-_reported!M21</f>
        <v>0</v>
      </c>
      <c r="N119" s="21">
        <f>N118-_reported!N21</f>
        <v>0</v>
      </c>
      <c r="X119" s="21">
        <f>X118-_reported!X21</f>
        <v>0</v>
      </c>
      <c r="Y119" s="21">
        <f>Y118-_reported!Y21</f>
        <v>0</v>
      </c>
      <c r="Z119" s="21">
        <f>Z118-_reported!Z21</f>
        <v>0</v>
      </c>
    </row>
    <row r="121" spans="1:31" x14ac:dyDescent="0.2">
      <c r="D121" s="19" t="s">
        <v>99</v>
      </c>
      <c r="G121" s="11"/>
      <c r="H121" s="11"/>
      <c r="I121" s="11"/>
      <c r="J121" s="10">
        <v>77.426000000000002</v>
      </c>
      <c r="K121" s="10">
        <v>74.765000000000001</v>
      </c>
      <c r="L121" s="10">
        <v>125.84099999999999</v>
      </c>
      <c r="M121" s="10">
        <v>123.28400000000001</v>
      </c>
      <c r="N121" s="10">
        <v>120.614</v>
      </c>
      <c r="O121" s="29">
        <f t="shared" ref="O121:V122" si="71">N121</f>
        <v>120.614</v>
      </c>
      <c r="P121" s="29">
        <f t="shared" si="71"/>
        <v>120.614</v>
      </c>
      <c r="Q121" s="29">
        <f t="shared" si="71"/>
        <v>120.614</v>
      </c>
      <c r="R121" s="29">
        <f t="shared" si="71"/>
        <v>120.614</v>
      </c>
      <c r="S121" s="29">
        <f t="shared" si="71"/>
        <v>120.614</v>
      </c>
      <c r="T121" s="29">
        <f t="shared" si="71"/>
        <v>120.614</v>
      </c>
      <c r="U121" s="29">
        <f t="shared" si="71"/>
        <v>120.614</v>
      </c>
      <c r="V121" s="29">
        <f t="shared" si="71"/>
        <v>120.614</v>
      </c>
      <c r="X121" s="11"/>
      <c r="Y121" s="10">
        <v>80.59</v>
      </c>
      <c r="Z121" s="10">
        <v>123.28400000000001</v>
      </c>
      <c r="AA121" s="29">
        <f>R121</f>
        <v>120.614</v>
      </c>
      <c r="AB121" s="29">
        <f>V121</f>
        <v>120.614</v>
      </c>
      <c r="AC121" s="29">
        <f t="shared" ref="AC121:AE122" si="72">AB121</f>
        <v>120.614</v>
      </c>
      <c r="AD121" s="29">
        <f t="shared" si="72"/>
        <v>120.614</v>
      </c>
      <c r="AE121" s="29">
        <f t="shared" si="72"/>
        <v>120.614</v>
      </c>
    </row>
    <row r="122" spans="1:31" x14ac:dyDescent="0.2">
      <c r="D122" s="19" t="s">
        <v>100</v>
      </c>
      <c r="G122" s="11"/>
      <c r="H122" s="11"/>
      <c r="I122" s="11"/>
      <c r="J122" s="23">
        <v>43.011000000000003</v>
      </c>
      <c r="K122" s="23">
        <v>39.912999999999997</v>
      </c>
      <c r="L122" s="23">
        <v>37.280999999999999</v>
      </c>
      <c r="M122" s="23">
        <v>51.691000000000003</v>
      </c>
      <c r="N122" s="23">
        <v>44.228000000000002</v>
      </c>
      <c r="O122" s="34">
        <f t="shared" si="71"/>
        <v>44.228000000000002</v>
      </c>
      <c r="P122" s="34">
        <f t="shared" si="71"/>
        <v>44.228000000000002</v>
      </c>
      <c r="Q122" s="34">
        <f t="shared" si="71"/>
        <v>44.228000000000002</v>
      </c>
      <c r="R122" s="34">
        <f t="shared" si="71"/>
        <v>44.228000000000002</v>
      </c>
      <c r="S122" s="34">
        <f t="shared" si="71"/>
        <v>44.228000000000002</v>
      </c>
      <c r="T122" s="34">
        <f t="shared" si="71"/>
        <v>44.228000000000002</v>
      </c>
      <c r="U122" s="34">
        <f t="shared" si="71"/>
        <v>44.228000000000002</v>
      </c>
      <c r="V122" s="34">
        <f t="shared" si="71"/>
        <v>44.228000000000002</v>
      </c>
      <c r="X122" s="11"/>
      <c r="Y122" s="23">
        <v>46.109000000000002</v>
      </c>
      <c r="Z122" s="23">
        <v>51.691000000000003</v>
      </c>
      <c r="AA122" s="34">
        <f>R122</f>
        <v>44.228000000000002</v>
      </c>
      <c r="AB122" s="34">
        <f>V122</f>
        <v>44.228000000000002</v>
      </c>
      <c r="AC122" s="34">
        <f t="shared" si="72"/>
        <v>44.228000000000002</v>
      </c>
      <c r="AD122" s="34">
        <f t="shared" si="72"/>
        <v>44.228000000000002</v>
      </c>
      <c r="AE122" s="34">
        <f t="shared" si="72"/>
        <v>44.228000000000002</v>
      </c>
    </row>
    <row r="124" spans="1:31" x14ac:dyDescent="0.2">
      <c r="A124" s="1" t="s">
        <v>29</v>
      </c>
      <c r="B124" s="2" t="s">
        <v>101</v>
      </c>
      <c r="G124" s="20">
        <f t="shared" ref="G124:V124" si="73">G118+G121+G122</f>
        <v>0</v>
      </c>
      <c r="H124" s="20">
        <f t="shared" si="73"/>
        <v>0</v>
      </c>
      <c r="I124" s="20">
        <f t="shared" si="73"/>
        <v>0</v>
      </c>
      <c r="J124" s="20">
        <f t="shared" si="73"/>
        <v>453.98199999999997</v>
      </c>
      <c r="K124" s="20">
        <f t="shared" si="73"/>
        <v>474.37599999999998</v>
      </c>
      <c r="L124" s="20">
        <f t="shared" si="73"/>
        <v>519.03699999999992</v>
      </c>
      <c r="M124" s="20">
        <f t="shared" si="73"/>
        <v>562.899</v>
      </c>
      <c r="N124" s="20">
        <f t="shared" si="73"/>
        <v>508.94100000000009</v>
      </c>
      <c r="O124" s="20">
        <f t="shared" si="73"/>
        <v>491.54912591825001</v>
      </c>
      <c r="P124" s="20">
        <f t="shared" si="73"/>
        <v>496.51467601300004</v>
      </c>
      <c r="Q124" s="20">
        <f t="shared" si="73"/>
        <v>513.77310251999995</v>
      </c>
      <c r="R124" s="20">
        <f t="shared" si="73"/>
        <v>530.17623275400001</v>
      </c>
      <c r="S124" s="20">
        <f t="shared" si="73"/>
        <v>527.83772392562503</v>
      </c>
      <c r="T124" s="20">
        <f t="shared" si="73"/>
        <v>534.04318606300001</v>
      </c>
      <c r="U124" s="20">
        <f t="shared" si="73"/>
        <v>552.04278283249994</v>
      </c>
      <c r="V124" s="20">
        <f t="shared" si="73"/>
        <v>566.50508185299998</v>
      </c>
      <c r="X124" s="20">
        <f>X118+X121+X122</f>
        <v>0</v>
      </c>
      <c r="Y124" s="20">
        <f>Y118+Y121+Y122</f>
        <v>501.51600000000002</v>
      </c>
      <c r="Z124" s="20">
        <f>Z118+Z121+Z122</f>
        <v>562.899</v>
      </c>
      <c r="AA124" s="20">
        <f>R124</f>
        <v>530.17623275400001</v>
      </c>
      <c r="AB124" s="20">
        <f>V124</f>
        <v>566.50508185299998</v>
      </c>
      <c r="AC124" s="20">
        <f>AC118+AC121+AC122</f>
        <v>1792.508751952</v>
      </c>
      <c r="AD124" s="20">
        <f>AD118+AD121+AD122</f>
        <v>1997.8846842096245</v>
      </c>
      <c r="AE124" s="20">
        <f>AE118+AE121+AE122</f>
        <v>2204.0422925232401</v>
      </c>
    </row>
    <row r="125" spans="1:31" x14ac:dyDescent="0.2">
      <c r="D125" s="9" t="s">
        <v>33</v>
      </c>
      <c r="G125" s="21">
        <f>G124-_reported!G22</f>
        <v>0</v>
      </c>
      <c r="H125" s="21">
        <f>H124-_reported!H22</f>
        <v>0</v>
      </c>
      <c r="I125" s="21">
        <f>I124-_reported!I22</f>
        <v>0</v>
      </c>
      <c r="J125" s="21">
        <f>J124-_reported!J22</f>
        <v>0</v>
      </c>
      <c r="K125" s="21">
        <f>K124-_reported!K22</f>
        <v>0</v>
      </c>
      <c r="L125" s="21">
        <f>L124-_reported!L22</f>
        <v>0</v>
      </c>
      <c r="M125" s="21">
        <f>M124-_reported!M22</f>
        <v>0</v>
      </c>
      <c r="N125" s="21">
        <f>N124-_reported!N22</f>
        <v>0</v>
      </c>
      <c r="X125" s="21">
        <f>X124-_reported!X22</f>
        <v>0</v>
      </c>
      <c r="Y125" s="21">
        <f>Y124-_reported!Y22</f>
        <v>0</v>
      </c>
      <c r="Z125" s="21">
        <f>Z124-_reported!Z22</f>
        <v>0</v>
      </c>
    </row>
    <row r="128" spans="1:31" x14ac:dyDescent="0.2">
      <c r="D128" s="13" t="s">
        <v>102</v>
      </c>
      <c r="G128" s="11"/>
      <c r="H128" s="11"/>
      <c r="I128" s="11"/>
      <c r="J128" s="10">
        <v>2890.1210000000001</v>
      </c>
      <c r="K128" s="10">
        <v>0</v>
      </c>
      <c r="L128" s="10">
        <v>0</v>
      </c>
      <c r="M128" s="10">
        <v>0</v>
      </c>
      <c r="N128" s="10">
        <v>0</v>
      </c>
      <c r="O128" s="29">
        <v>0</v>
      </c>
      <c r="P128" s="29">
        <v>0</v>
      </c>
      <c r="Q128" s="29">
        <v>0</v>
      </c>
      <c r="R128" s="29">
        <v>0</v>
      </c>
      <c r="S128" s="29">
        <v>0</v>
      </c>
      <c r="T128" s="29">
        <v>0</v>
      </c>
      <c r="U128" s="29">
        <v>0</v>
      </c>
      <c r="V128" s="29">
        <v>0</v>
      </c>
      <c r="X128" s="11"/>
      <c r="Y128" s="10">
        <v>2890.1210000000001</v>
      </c>
      <c r="Z128" s="10">
        <v>0</v>
      </c>
      <c r="AA128" s="29">
        <f>R128</f>
        <v>0</v>
      </c>
      <c r="AB128" s="29">
        <f>V128</f>
        <v>0</v>
      </c>
      <c r="AC128" s="29">
        <v>0</v>
      </c>
      <c r="AD128" s="29">
        <v>0</v>
      </c>
      <c r="AE128" s="29">
        <v>0</v>
      </c>
    </row>
    <row r="131" spans="1:31" x14ac:dyDescent="0.2">
      <c r="D131" s="19" t="s">
        <v>103</v>
      </c>
      <c r="G131" s="11"/>
      <c r="H131" s="11"/>
      <c r="I131" s="11"/>
      <c r="J131" s="10">
        <v>2E-3</v>
      </c>
      <c r="K131" s="10">
        <v>3.1E-2</v>
      </c>
      <c r="L131" s="10">
        <v>3.1E-2</v>
      </c>
      <c r="M131" s="10">
        <v>3.1E-2</v>
      </c>
      <c r="N131" s="10">
        <v>3.1E-2</v>
      </c>
      <c r="O131" s="29">
        <f t="shared" ref="O131:V131" si="74">N131</f>
        <v>3.1E-2</v>
      </c>
      <c r="P131" s="29">
        <f t="shared" si="74"/>
        <v>3.1E-2</v>
      </c>
      <c r="Q131" s="29">
        <f t="shared" si="74"/>
        <v>3.1E-2</v>
      </c>
      <c r="R131" s="29">
        <f t="shared" si="74"/>
        <v>3.1E-2</v>
      </c>
      <c r="S131" s="29">
        <f t="shared" si="74"/>
        <v>3.1E-2</v>
      </c>
      <c r="T131" s="29">
        <f t="shared" si="74"/>
        <v>3.1E-2</v>
      </c>
      <c r="U131" s="29">
        <f t="shared" si="74"/>
        <v>3.1E-2</v>
      </c>
      <c r="V131" s="29">
        <f t="shared" si="74"/>
        <v>3.1E-2</v>
      </c>
      <c r="X131" s="11"/>
      <c r="Y131" s="10">
        <v>2E-3</v>
      </c>
      <c r="Z131" s="10">
        <v>3.1E-2</v>
      </c>
      <c r="AA131" s="29">
        <f>R131</f>
        <v>3.1E-2</v>
      </c>
      <c r="AB131" s="29">
        <f>V131</f>
        <v>3.1E-2</v>
      </c>
      <c r="AC131" s="29">
        <f>AB131</f>
        <v>3.1E-2</v>
      </c>
      <c r="AD131" s="29">
        <f>AC131</f>
        <v>3.1E-2</v>
      </c>
      <c r="AE131" s="29">
        <f>AD131</f>
        <v>3.1E-2</v>
      </c>
    </row>
    <row r="132" spans="1:31" x14ac:dyDescent="0.2">
      <c r="D132" s="19" t="s">
        <v>104</v>
      </c>
      <c r="G132" s="11"/>
      <c r="H132" s="11"/>
      <c r="I132" s="11"/>
      <c r="J132" s="23">
        <v>442.82900000000001</v>
      </c>
      <c r="K132" s="23">
        <v>4702.7879999999996</v>
      </c>
      <c r="L132" s="23">
        <v>4772.6490000000003</v>
      </c>
      <c r="M132" s="23">
        <v>4775.607</v>
      </c>
      <c r="N132" s="23">
        <v>4763.0060000000003</v>
      </c>
      <c r="O132" s="34">
        <f t="shared" ref="O132:V132" si="75">N132+O186+O187+O224+O225+O223+O222</f>
        <v>4799.3541925</v>
      </c>
      <c r="P132" s="34">
        <f t="shared" si="75"/>
        <v>4834.4455525000003</v>
      </c>
      <c r="Q132" s="34">
        <f t="shared" si="75"/>
        <v>4870.1241774999999</v>
      </c>
      <c r="R132" s="34">
        <f t="shared" si="75"/>
        <v>4905.3019349999995</v>
      </c>
      <c r="S132" s="34">
        <f t="shared" si="75"/>
        <v>4936.9228537499994</v>
      </c>
      <c r="T132" s="34">
        <f t="shared" si="75"/>
        <v>4966.3424137499997</v>
      </c>
      <c r="U132" s="34">
        <f t="shared" si="75"/>
        <v>4995.02655125</v>
      </c>
      <c r="V132" s="34">
        <f t="shared" si="75"/>
        <v>5022.0814512500001</v>
      </c>
      <c r="X132" s="11"/>
      <c r="Y132" s="23">
        <v>433.363</v>
      </c>
      <c r="Z132" s="23">
        <v>4775.607</v>
      </c>
      <c r="AA132" s="34">
        <f>R132</f>
        <v>4905.3019349999995</v>
      </c>
      <c r="AB132" s="34">
        <f>V132</f>
        <v>5022.0814512500001</v>
      </c>
      <c r="AC132" s="34">
        <f>AB132+AC186+AC187+AC224+AC225+AC223+AC222</f>
        <v>5122.1894832500002</v>
      </c>
      <c r="AD132" s="34">
        <f>AC132+AD186+AD187+AD224+AD225+AD223+AD222</f>
        <v>5219.0201749999997</v>
      </c>
      <c r="AE132" s="34">
        <f>AD132+AE186+AE187+AE224+AE225+AE223+AE222</f>
        <v>5307.8383828999995</v>
      </c>
    </row>
    <row r="133" spans="1:31" x14ac:dyDescent="0.2">
      <c r="D133" s="19" t="s">
        <v>105</v>
      </c>
      <c r="G133" s="11"/>
      <c r="H133" s="11"/>
      <c r="I133" s="11"/>
      <c r="J133" s="23">
        <v>0.29399999999999998</v>
      </c>
      <c r="K133" s="23">
        <v>-0.11600000000000001</v>
      </c>
      <c r="L133" s="23">
        <v>-7.9000000000000001E-2</v>
      </c>
      <c r="M133" s="23">
        <v>0.17199999999999999</v>
      </c>
      <c r="N133" s="23">
        <v>-0.94699999999999995</v>
      </c>
      <c r="O133" s="34">
        <f t="shared" ref="O133:V133" si="76">N133</f>
        <v>-0.94699999999999995</v>
      </c>
      <c r="P133" s="34">
        <f t="shared" si="76"/>
        <v>-0.94699999999999995</v>
      </c>
      <c r="Q133" s="34">
        <f t="shared" si="76"/>
        <v>-0.94699999999999995</v>
      </c>
      <c r="R133" s="34">
        <f t="shared" si="76"/>
        <v>-0.94699999999999995</v>
      </c>
      <c r="S133" s="34">
        <f t="shared" si="76"/>
        <v>-0.94699999999999995</v>
      </c>
      <c r="T133" s="34">
        <f t="shared" si="76"/>
        <v>-0.94699999999999995</v>
      </c>
      <c r="U133" s="34">
        <f t="shared" si="76"/>
        <v>-0.94699999999999995</v>
      </c>
      <c r="V133" s="34">
        <f t="shared" si="76"/>
        <v>-0.94699999999999995</v>
      </c>
      <c r="X133" s="11"/>
      <c r="Y133" s="23">
        <v>0.20300000000000001</v>
      </c>
      <c r="Z133" s="23">
        <v>0.17199999999999999</v>
      </c>
      <c r="AA133" s="34">
        <f>R133</f>
        <v>-0.94699999999999995</v>
      </c>
      <c r="AB133" s="34">
        <f>V133</f>
        <v>-0.94699999999999995</v>
      </c>
      <c r="AC133" s="34">
        <f>AB133</f>
        <v>-0.94699999999999995</v>
      </c>
      <c r="AD133" s="34">
        <f>AC133</f>
        <v>-0.94699999999999995</v>
      </c>
      <c r="AE133" s="34">
        <f>AD133</f>
        <v>-0.94699999999999995</v>
      </c>
    </row>
    <row r="134" spans="1:31" x14ac:dyDescent="0.2">
      <c r="D134" s="19" t="s">
        <v>106</v>
      </c>
      <c r="G134" s="11"/>
      <c r="H134" s="11"/>
      <c r="I134" s="11"/>
      <c r="J134" s="23">
        <v>-2351.2289999999998</v>
      </c>
      <c r="K134" s="23">
        <v>-3274.605</v>
      </c>
      <c r="L134" s="23">
        <v>-3329.3270000000002</v>
      </c>
      <c r="M134" s="23">
        <v>-3374.1039999999998</v>
      </c>
      <c r="N134" s="23">
        <v>-3320.6480000000001</v>
      </c>
      <c r="O134" s="34">
        <f t="shared" ref="O134:V134" si="77">N134+O37</f>
        <v>-3292.0900152650001</v>
      </c>
      <c r="P134" s="34">
        <f t="shared" si="77"/>
        <v>-3242.8753517150003</v>
      </c>
      <c r="Q134" s="34">
        <f t="shared" si="77"/>
        <v>-3176.7187520150005</v>
      </c>
      <c r="R134" s="34">
        <f t="shared" si="77"/>
        <v>-3096.2706364025007</v>
      </c>
      <c r="S134" s="34">
        <f t="shared" si="77"/>
        <v>-3015.2184088087506</v>
      </c>
      <c r="T134" s="34">
        <f t="shared" si="77"/>
        <v>-2919.0333542687508</v>
      </c>
      <c r="U134" s="34">
        <f t="shared" si="77"/>
        <v>-2805.3213652687509</v>
      </c>
      <c r="V134" s="34">
        <f t="shared" si="77"/>
        <v>-2670.9086330587511</v>
      </c>
      <c r="X134" s="11"/>
      <c r="Y134" s="23">
        <v>-2364.1680000000001</v>
      </c>
      <c r="Z134" s="23">
        <v>-3374.1039999999998</v>
      </c>
      <c r="AA134" s="34">
        <f>R134</f>
        <v>-3096.2706364025007</v>
      </c>
      <c r="AB134" s="34">
        <f>V134</f>
        <v>-2670.9086330587511</v>
      </c>
      <c r="AC134" s="34">
        <f>AB134+AC37</f>
        <v>-2107.7330728187512</v>
      </c>
      <c r="AD134" s="34">
        <f>AC134+AD37</f>
        <v>-1290.9925240775019</v>
      </c>
      <c r="AE134" s="34">
        <f>AD134+AE37</f>
        <v>-152.4279521922017</v>
      </c>
    </row>
    <row r="136" spans="1:31" x14ac:dyDescent="0.2">
      <c r="A136" s="1" t="s">
        <v>29</v>
      </c>
      <c r="C136" s="2" t="s">
        <v>107</v>
      </c>
      <c r="G136" s="20">
        <f t="shared" ref="G136:V136" si="78">SUM(G131:G134)</f>
        <v>0</v>
      </c>
      <c r="H136" s="20">
        <f t="shared" si="78"/>
        <v>0</v>
      </c>
      <c r="I136" s="20">
        <f t="shared" si="78"/>
        <v>0</v>
      </c>
      <c r="J136" s="20">
        <f t="shared" si="78"/>
        <v>-1908.1039999999998</v>
      </c>
      <c r="K136" s="20">
        <f t="shared" si="78"/>
        <v>1428.0979999999995</v>
      </c>
      <c r="L136" s="20">
        <f t="shared" si="78"/>
        <v>1443.2740000000003</v>
      </c>
      <c r="M136" s="20">
        <f t="shared" si="78"/>
        <v>1401.7059999999997</v>
      </c>
      <c r="N136" s="20">
        <f t="shared" si="78"/>
        <v>1441.442</v>
      </c>
      <c r="O136" s="20">
        <f t="shared" si="78"/>
        <v>1506.3481772349996</v>
      </c>
      <c r="P136" s="20">
        <f t="shared" si="78"/>
        <v>1590.6542007849998</v>
      </c>
      <c r="Q136" s="20">
        <f t="shared" si="78"/>
        <v>1692.4894254849992</v>
      </c>
      <c r="R136" s="20">
        <f t="shared" si="78"/>
        <v>1808.1152985974986</v>
      </c>
      <c r="S136" s="20">
        <f t="shared" si="78"/>
        <v>1920.7884449412486</v>
      </c>
      <c r="T136" s="20">
        <f t="shared" si="78"/>
        <v>2046.3930594812487</v>
      </c>
      <c r="U136" s="20">
        <f t="shared" si="78"/>
        <v>2188.7891859812489</v>
      </c>
      <c r="V136" s="20">
        <f t="shared" si="78"/>
        <v>2350.2568181912488</v>
      </c>
      <c r="X136" s="20">
        <f>SUM(X131:X134)</f>
        <v>0</v>
      </c>
      <c r="Y136" s="20">
        <f>SUM(Y131:Y134)</f>
        <v>-1930.6000000000001</v>
      </c>
      <c r="Z136" s="20">
        <f>SUM(Z131:Z134)</f>
        <v>1401.7059999999997</v>
      </c>
      <c r="AA136" s="20">
        <f>R136</f>
        <v>1808.1152985974986</v>
      </c>
      <c r="AB136" s="20">
        <f>V136</f>
        <v>2350.2568181912488</v>
      </c>
      <c r="AC136" s="20">
        <f>SUM(AC131:AC134)</f>
        <v>3013.5404104312488</v>
      </c>
      <c r="AD136" s="20">
        <f>SUM(AD131:AD134)</f>
        <v>3927.1116509224976</v>
      </c>
      <c r="AE136" s="20">
        <f>SUM(AE131:AE134)</f>
        <v>5154.4944307077976</v>
      </c>
    </row>
    <row r="137" spans="1:31" x14ac:dyDescent="0.2">
      <c r="D137" s="9" t="s">
        <v>33</v>
      </c>
      <c r="G137" s="21">
        <f>G136-_reported!G23</f>
        <v>0</v>
      </c>
      <c r="H137" s="21">
        <f>H136-_reported!H23</f>
        <v>0</v>
      </c>
      <c r="I137" s="21">
        <f>I136-_reported!I23</f>
        <v>0</v>
      </c>
      <c r="J137" s="21">
        <f>J136-_reported!J23</f>
        <v>0</v>
      </c>
      <c r="K137" s="21">
        <f>K136-_reported!K23</f>
        <v>0</v>
      </c>
      <c r="L137" s="21">
        <f>L136-_reported!L23</f>
        <v>0</v>
      </c>
      <c r="M137" s="21">
        <f>M136-_reported!M23</f>
        <v>0</v>
      </c>
      <c r="N137" s="21">
        <f>N136-_reported!N23</f>
        <v>0</v>
      </c>
      <c r="X137" s="21">
        <f>X136-_reported!X23</f>
        <v>0</v>
      </c>
      <c r="Y137" s="21">
        <f>Y136-_reported!Y23</f>
        <v>0</v>
      </c>
      <c r="Z137" s="21">
        <f>Z136-_reported!Z23</f>
        <v>0</v>
      </c>
    </row>
    <row r="139" spans="1:31" x14ac:dyDescent="0.2">
      <c r="A139" s="1" t="s">
        <v>29</v>
      </c>
      <c r="B139" s="2" t="s">
        <v>108</v>
      </c>
      <c r="G139" s="20">
        <f t="shared" ref="G139:V139" si="79">G124+G128+G136</f>
        <v>0</v>
      </c>
      <c r="H139" s="20">
        <f t="shared" si="79"/>
        <v>0</v>
      </c>
      <c r="I139" s="20">
        <f t="shared" si="79"/>
        <v>0</v>
      </c>
      <c r="J139" s="20">
        <f t="shared" si="79"/>
        <v>1435.9990000000003</v>
      </c>
      <c r="K139" s="20">
        <f t="shared" si="79"/>
        <v>1902.4739999999995</v>
      </c>
      <c r="L139" s="20">
        <f t="shared" si="79"/>
        <v>1962.3110000000001</v>
      </c>
      <c r="M139" s="20">
        <f t="shared" si="79"/>
        <v>1964.6049999999996</v>
      </c>
      <c r="N139" s="20">
        <f t="shared" si="79"/>
        <v>1950.383</v>
      </c>
      <c r="O139" s="20">
        <f t="shared" si="79"/>
        <v>1997.8973031532496</v>
      </c>
      <c r="P139" s="20">
        <f t="shared" si="79"/>
        <v>2087.1688767979999</v>
      </c>
      <c r="Q139" s="20">
        <f t="shared" si="79"/>
        <v>2206.2625280049992</v>
      </c>
      <c r="R139" s="20">
        <f t="shared" si="79"/>
        <v>2338.2915313514986</v>
      </c>
      <c r="S139" s="20">
        <f t="shared" si="79"/>
        <v>2448.6261688668737</v>
      </c>
      <c r="T139" s="20">
        <f t="shared" si="79"/>
        <v>2580.4362455442488</v>
      </c>
      <c r="U139" s="20">
        <f t="shared" si="79"/>
        <v>2740.831968813749</v>
      </c>
      <c r="V139" s="20">
        <f t="shared" si="79"/>
        <v>2916.7619000442487</v>
      </c>
      <c r="X139" s="20">
        <f>X124+X128+X136</f>
        <v>0</v>
      </c>
      <c r="Y139" s="20">
        <f>Y124+Y128+Y136</f>
        <v>1461.037</v>
      </c>
      <c r="Z139" s="20">
        <f>Z124+Z128+Z136</f>
        <v>1964.6049999999996</v>
      </c>
      <c r="AA139" s="20">
        <f>R139</f>
        <v>2338.2915313514986</v>
      </c>
      <c r="AB139" s="20">
        <f>V139</f>
        <v>2916.7619000442487</v>
      </c>
      <c r="AC139" s="20">
        <f>AC124+AC128+AC136</f>
        <v>4806.0491623832486</v>
      </c>
      <c r="AD139" s="20">
        <f>AD124+AD128+AD136</f>
        <v>5924.9963351321221</v>
      </c>
      <c r="AE139" s="20">
        <f>AE124+AE128+AE136</f>
        <v>7358.5367232310382</v>
      </c>
    </row>
    <row r="140" spans="1:31" x14ac:dyDescent="0.2">
      <c r="D140" s="9" t="s">
        <v>33</v>
      </c>
      <c r="G140" s="21">
        <f>G139-_reported!G24</f>
        <v>0</v>
      </c>
      <c r="H140" s="21">
        <f>H139-_reported!H24</f>
        <v>0</v>
      </c>
      <c r="I140" s="21">
        <f>I139-_reported!I24</f>
        <v>0</v>
      </c>
      <c r="J140" s="21">
        <f>J139-_reported!J24</f>
        <v>0</v>
      </c>
      <c r="K140" s="21">
        <f>K139-_reported!K24</f>
        <v>0</v>
      </c>
      <c r="L140" s="21">
        <f>L139-_reported!L24</f>
        <v>0</v>
      </c>
      <c r="M140" s="21">
        <f>M139-_reported!M24</f>
        <v>0</v>
      </c>
      <c r="N140" s="21">
        <f>N139-_reported!N24</f>
        <v>0</v>
      </c>
      <c r="X140" s="21">
        <f>X139-_reported!X24</f>
        <v>0</v>
      </c>
      <c r="Y140" s="21">
        <f>Y139-_reported!Y24</f>
        <v>0</v>
      </c>
      <c r="Z140" s="21">
        <f>Z139-_reported!Z24</f>
        <v>0</v>
      </c>
    </row>
    <row r="142" spans="1:31" x14ac:dyDescent="0.2">
      <c r="A142" s="1" t="s">
        <v>29</v>
      </c>
      <c r="B142" s="26" t="s">
        <v>109</v>
      </c>
      <c r="G142" s="27">
        <f t="shared" ref="G142:V142" si="80">G111-G139</f>
        <v>0</v>
      </c>
      <c r="H142" s="27">
        <f t="shared" si="80"/>
        <v>0</v>
      </c>
      <c r="I142" s="27">
        <f t="shared" si="80"/>
        <v>0</v>
      </c>
      <c r="J142" s="27">
        <f t="shared" si="80"/>
        <v>0</v>
      </c>
      <c r="K142" s="27">
        <f t="shared" si="80"/>
        <v>0</v>
      </c>
      <c r="L142" s="27">
        <f t="shared" si="80"/>
        <v>0</v>
      </c>
      <c r="M142" s="27">
        <f t="shared" si="80"/>
        <v>0</v>
      </c>
      <c r="N142" s="27">
        <f t="shared" si="80"/>
        <v>0</v>
      </c>
      <c r="O142" s="27">
        <f t="shared" si="80"/>
        <v>0</v>
      </c>
      <c r="P142" s="27">
        <f t="shared" si="80"/>
        <v>0</v>
      </c>
      <c r="Q142" s="27">
        <f t="shared" si="80"/>
        <v>0</v>
      </c>
      <c r="R142" s="27">
        <f t="shared" si="80"/>
        <v>0</v>
      </c>
      <c r="S142" s="27">
        <f t="shared" si="80"/>
        <v>0</v>
      </c>
      <c r="T142" s="27">
        <f t="shared" si="80"/>
        <v>0</v>
      </c>
      <c r="U142" s="27">
        <f t="shared" si="80"/>
        <v>0</v>
      </c>
      <c r="V142" s="27">
        <f t="shared" si="80"/>
        <v>0</v>
      </c>
      <c r="X142" s="27">
        <f>X111-X139</f>
        <v>0</v>
      </c>
      <c r="Y142" s="27">
        <f>Y111-Y139</f>
        <v>0</v>
      </c>
      <c r="Z142" s="27">
        <f>Z111-Z139</f>
        <v>0</v>
      </c>
      <c r="AA142" s="37">
        <f>R142</f>
        <v>0</v>
      </c>
      <c r="AB142" s="37">
        <f>V142</f>
        <v>0</v>
      </c>
      <c r="AC142" s="27">
        <f>AC111-AC139</f>
        <v>0</v>
      </c>
      <c r="AD142" s="27">
        <f>AD111-AD139</f>
        <v>0</v>
      </c>
      <c r="AE142" s="27">
        <f>AE111-AE139</f>
        <v>0</v>
      </c>
    </row>
    <row r="145" spans="2:31" ht="16" x14ac:dyDescent="0.2">
      <c r="B145" s="25" t="s">
        <v>110</v>
      </c>
      <c r="C145" s="25"/>
      <c r="D145" s="25"/>
      <c r="E145" s="25"/>
      <c r="F145" s="25"/>
      <c r="G145" s="25"/>
      <c r="H145" s="25"/>
      <c r="I145" s="25"/>
      <c r="J145" s="25"/>
      <c r="K145" s="25"/>
      <c r="L145" s="25"/>
      <c r="M145" s="25"/>
      <c r="N145" s="25"/>
      <c r="O145" s="25"/>
      <c r="P145" s="25"/>
      <c r="Q145" s="25"/>
      <c r="R145" s="25"/>
      <c r="S145" s="25"/>
      <c r="T145" s="25"/>
      <c r="U145" s="25"/>
      <c r="V145" s="25"/>
      <c r="X145" s="25"/>
      <c r="Y145" s="25"/>
      <c r="Z145" s="25"/>
      <c r="AA145" s="25"/>
      <c r="AB145" s="25"/>
      <c r="AC145" s="25"/>
      <c r="AD145" s="25"/>
      <c r="AE145" s="25"/>
    </row>
    <row r="147" spans="2:31" x14ac:dyDescent="0.2">
      <c r="D147" s="19" t="s">
        <v>111</v>
      </c>
      <c r="G147" s="28" t="str">
        <f t="shared" ref="G147:V147" si="81">IFERROR(G104/G118,"")</f>
        <v/>
      </c>
      <c r="H147" s="28" t="str">
        <f t="shared" si="81"/>
        <v/>
      </c>
      <c r="I147" s="28" t="str">
        <f t="shared" si="81"/>
        <v/>
      </c>
      <c r="J147" s="28">
        <f t="shared" si="81"/>
        <v>3.7950801241211831</v>
      </c>
      <c r="K147" s="28">
        <f t="shared" si="81"/>
        <v>4.8264905559663944</v>
      </c>
      <c r="L147" s="28">
        <f t="shared" si="81"/>
        <v>4.9419018585898327</v>
      </c>
      <c r="M147" s="28">
        <f t="shared" si="81"/>
        <v>4.5266856394551507</v>
      </c>
      <c r="N147" s="28">
        <f t="shared" si="81"/>
        <v>5.0690673323665569</v>
      </c>
      <c r="O147" s="28">
        <f t="shared" si="81"/>
        <v>5.4735832601665235</v>
      </c>
      <c r="P147" s="28">
        <f t="shared" si="81"/>
        <v>5.6497876779411049</v>
      </c>
      <c r="Q147" s="28">
        <f t="shared" si="81"/>
        <v>5.7003729458052321</v>
      </c>
      <c r="R147" s="28">
        <f t="shared" si="81"/>
        <v>5.7943876536528105</v>
      </c>
      <c r="S147" s="28">
        <f t="shared" si="81"/>
        <v>6.1241055075688848</v>
      </c>
      <c r="T147" s="28">
        <f t="shared" si="81"/>
        <v>6.3664134475265888</v>
      </c>
      <c r="U147" s="28">
        <f t="shared" si="81"/>
        <v>6.4726488592816667</v>
      </c>
      <c r="V147" s="28">
        <f t="shared" si="81"/>
        <v>6.6652593143326087</v>
      </c>
      <c r="X147" s="28" t="str">
        <f t="shared" ref="X147:AE147" si="82">IFERROR(X104/X118,"")</f>
        <v/>
      </c>
      <c r="Y147" s="28">
        <f t="shared" si="82"/>
        <v>3.4337716805801231</v>
      </c>
      <c r="Z147" s="28">
        <f t="shared" si="82"/>
        <v>4.5266856394551507</v>
      </c>
      <c r="AA147" s="28">
        <f t="shared" si="82"/>
        <v>5.7943876536528105</v>
      </c>
      <c r="AB147" s="28">
        <f t="shared" si="82"/>
        <v>6.6652593143326087</v>
      </c>
      <c r="AC147" s="28">
        <f t="shared" si="82"/>
        <v>2.7884232042217776</v>
      </c>
      <c r="AD147" s="28">
        <f t="shared" si="82"/>
        <v>3.0683742155640474</v>
      </c>
      <c r="AE147" s="28">
        <f t="shared" si="82"/>
        <v>3.4395078656973586</v>
      </c>
    </row>
    <row r="148" spans="2:31" x14ac:dyDescent="0.2">
      <c r="D148" s="19" t="s">
        <v>112</v>
      </c>
      <c r="G148" s="28" t="str">
        <f t="shared" ref="G148:V148" si="83">IFERROR((G97+G101)/G118,"")</f>
        <v/>
      </c>
      <c r="H148" s="28" t="str">
        <f t="shared" si="83"/>
        <v/>
      </c>
      <c r="I148" s="28" t="str">
        <f t="shared" si="83"/>
        <v/>
      </c>
      <c r="J148" s="28">
        <f t="shared" si="83"/>
        <v>1.6783852253818827</v>
      </c>
      <c r="K148" s="28">
        <f t="shared" si="83"/>
        <v>3.0522215858859378</v>
      </c>
      <c r="L148" s="28">
        <f t="shared" si="83"/>
        <v>1.9180928030569098</v>
      </c>
      <c r="M148" s="28">
        <f t="shared" si="83"/>
        <v>1.8666955383013168</v>
      </c>
      <c r="N148" s="28">
        <f t="shared" si="83"/>
        <v>2.6213822184894462</v>
      </c>
      <c r="O148" s="28">
        <f t="shared" si="83"/>
        <v>2.9021280841009229</v>
      </c>
      <c r="P148" s="28">
        <f t="shared" si="83"/>
        <v>3.0685719736771695</v>
      </c>
      <c r="Q148" s="28">
        <f t="shared" si="83"/>
        <v>3.1380749203698119</v>
      </c>
      <c r="R148" s="28">
        <f t="shared" si="83"/>
        <v>3.2608644849569086</v>
      </c>
      <c r="S148" s="28">
        <f t="shared" si="83"/>
        <v>3.573730647120986</v>
      </c>
      <c r="T148" s="28">
        <f t="shared" si="83"/>
        <v>3.8168257226394431</v>
      </c>
      <c r="U148" s="28">
        <f t="shared" si="83"/>
        <v>3.9459890657677277</v>
      </c>
      <c r="V148" s="28">
        <f t="shared" si="83"/>
        <v>4.1481310800528703</v>
      </c>
      <c r="X148" s="28" t="str">
        <f t="shared" ref="X148:AE148" si="84">IFERROR((X97+X101)/X118,"")</f>
        <v/>
      </c>
      <c r="Y148" s="28">
        <f t="shared" si="84"/>
        <v>1.4776757724436189</v>
      </c>
      <c r="Z148" s="28">
        <f t="shared" si="84"/>
        <v>1.8666955383013168</v>
      </c>
      <c r="AA148" s="28">
        <f t="shared" si="84"/>
        <v>3.2608644849569086</v>
      </c>
      <c r="AB148" s="28">
        <f t="shared" si="84"/>
        <v>4.1481310800528703</v>
      </c>
      <c r="AC148" s="28">
        <f t="shared" si="84"/>
        <v>1.0302781019960912</v>
      </c>
      <c r="AD148" s="28">
        <f t="shared" si="84"/>
        <v>1.2748269398673147</v>
      </c>
      <c r="AE148" s="28">
        <f t="shared" si="84"/>
        <v>1.5862546776528448</v>
      </c>
    </row>
    <row r="150" spans="2:31" x14ac:dyDescent="0.2">
      <c r="D150" s="19" t="s">
        <v>113</v>
      </c>
      <c r="G150" s="29">
        <f t="shared" ref="G150:V150" si="85">IFERROR(G104-G118,"")</f>
        <v>0</v>
      </c>
      <c r="H150" s="29">
        <f t="shared" si="85"/>
        <v>0</v>
      </c>
      <c r="I150" s="29">
        <f t="shared" si="85"/>
        <v>0</v>
      </c>
      <c r="J150" s="29">
        <f t="shared" si="85"/>
        <v>932.28499999999997</v>
      </c>
      <c r="K150" s="29">
        <f t="shared" si="85"/>
        <v>1376.3810000000003</v>
      </c>
      <c r="L150" s="29">
        <f t="shared" si="85"/>
        <v>1402.9820000000002</v>
      </c>
      <c r="M150" s="29">
        <f t="shared" si="85"/>
        <v>1368.0859999999998</v>
      </c>
      <c r="N150" s="29">
        <f t="shared" si="85"/>
        <v>1400.1619999999998</v>
      </c>
      <c r="O150" s="29">
        <f t="shared" si="85"/>
        <v>1461.5515294849999</v>
      </c>
      <c r="P150" s="29">
        <f t="shared" si="85"/>
        <v>1542.2075220349998</v>
      </c>
      <c r="Q150" s="29">
        <f t="shared" si="85"/>
        <v>1640.1063142349999</v>
      </c>
      <c r="R150" s="29">
        <f t="shared" si="85"/>
        <v>1751.5539349725</v>
      </c>
      <c r="S150" s="29">
        <f t="shared" si="85"/>
        <v>1860.0283881912496</v>
      </c>
      <c r="T150" s="29">
        <f t="shared" si="85"/>
        <v>1981.2862097312495</v>
      </c>
      <c r="U150" s="29">
        <f t="shared" si="85"/>
        <v>2119.0139224812492</v>
      </c>
      <c r="V150" s="29">
        <f t="shared" si="85"/>
        <v>2275.525515691249</v>
      </c>
      <c r="X150" s="29">
        <f t="shared" ref="X150:AE150" si="86">IFERROR(X104-X118,"")</f>
        <v>0</v>
      </c>
      <c r="Y150" s="29">
        <f t="shared" si="86"/>
        <v>912.21900000000005</v>
      </c>
      <c r="Z150" s="29">
        <f t="shared" si="86"/>
        <v>1368.0859999999998</v>
      </c>
      <c r="AA150" s="29">
        <f t="shared" si="86"/>
        <v>1751.5539349725</v>
      </c>
      <c r="AB150" s="29">
        <f t="shared" si="86"/>
        <v>2275.525515691249</v>
      </c>
      <c r="AC150" s="29">
        <f t="shared" si="86"/>
        <v>2910.9569879312494</v>
      </c>
      <c r="AD150" s="29">
        <f t="shared" si="86"/>
        <v>3791.4182240474979</v>
      </c>
      <c r="AE150" s="29">
        <f t="shared" si="86"/>
        <v>4974.6451533427989</v>
      </c>
    </row>
    <row r="152" spans="2:31" x14ac:dyDescent="0.2">
      <c r="D152" s="9" t="s">
        <v>114</v>
      </c>
      <c r="G152" s="30">
        <f t="shared" ref="G152:V152" si="87">IFERROR(G101/G10*91,"")</f>
        <v>0</v>
      </c>
      <c r="H152" s="30">
        <f t="shared" si="87"/>
        <v>0</v>
      </c>
      <c r="I152" s="30">
        <f t="shared" si="87"/>
        <v>0</v>
      </c>
      <c r="J152" s="30">
        <f t="shared" si="87"/>
        <v>42.392368875591814</v>
      </c>
      <c r="K152" s="30">
        <f t="shared" si="87"/>
        <v>39.559014596259765</v>
      </c>
      <c r="L152" s="30">
        <f t="shared" si="87"/>
        <v>39.78946826145912</v>
      </c>
      <c r="M152" s="30">
        <f t="shared" si="87"/>
        <v>39.351268868699677</v>
      </c>
      <c r="N152" s="30">
        <f t="shared" si="87"/>
        <v>41.37364204100485</v>
      </c>
      <c r="O152" s="30">
        <f t="shared" si="87"/>
        <v>40.950000000000003</v>
      </c>
      <c r="P152" s="30">
        <f t="shared" si="87"/>
        <v>40.04</v>
      </c>
      <c r="Q152" s="30">
        <f t="shared" si="87"/>
        <v>39.130000000000003</v>
      </c>
      <c r="R152" s="30">
        <f t="shared" si="87"/>
        <v>39.130000000000003</v>
      </c>
      <c r="S152" s="30">
        <f t="shared" si="87"/>
        <v>38.22</v>
      </c>
      <c r="T152" s="30">
        <f t="shared" si="87"/>
        <v>37.309999999999995</v>
      </c>
      <c r="U152" s="30">
        <f t="shared" si="87"/>
        <v>36.4</v>
      </c>
      <c r="V152" s="30">
        <f t="shared" si="87"/>
        <v>36.4</v>
      </c>
      <c r="X152" s="30">
        <f t="shared" ref="X152:AE152" si="88">IFERROR(X101/X10*365,"")</f>
        <v>0</v>
      </c>
      <c r="Y152" s="30">
        <f t="shared" si="88"/>
        <v>47.152469208477534</v>
      </c>
      <c r="Z152" s="30">
        <f t="shared" si="88"/>
        <v>43.044151876969231</v>
      </c>
      <c r="AA152" s="30">
        <f t="shared" si="88"/>
        <v>42.913494263261477</v>
      </c>
      <c r="AB152" s="30">
        <f t="shared" si="88"/>
        <v>39.823012007793565</v>
      </c>
      <c r="AC152" s="30">
        <f t="shared" si="88"/>
        <v>142.35</v>
      </c>
      <c r="AD152" s="30">
        <f t="shared" si="88"/>
        <v>135.05000000000001</v>
      </c>
      <c r="AE152" s="30">
        <f t="shared" si="88"/>
        <v>131.4</v>
      </c>
    </row>
    <row r="153" spans="2:31" x14ac:dyDescent="0.2">
      <c r="D153" s="9" t="s">
        <v>115</v>
      </c>
      <c r="G153" s="30">
        <f t="shared" ref="G153:V153" si="89">IFERROR(G115/(-G23)*91,"")</f>
        <v>0</v>
      </c>
      <c r="H153" s="30">
        <f t="shared" si="89"/>
        <v>0</v>
      </c>
      <c r="I153" s="30">
        <f t="shared" si="89"/>
        <v>0</v>
      </c>
      <c r="J153" s="30">
        <f t="shared" si="89"/>
        <v>7.6201198159349399</v>
      </c>
      <c r="K153" s="30">
        <f t="shared" si="89"/>
        <v>3.3871608653506908</v>
      </c>
      <c r="L153" s="30">
        <f t="shared" si="89"/>
        <v>6.7597934776960376</v>
      </c>
      <c r="M153" s="30">
        <f t="shared" si="89"/>
        <v>6.0270060169378334</v>
      </c>
      <c r="N153" s="30">
        <f t="shared" si="89"/>
        <v>6.4602078067958439</v>
      </c>
      <c r="O153" s="30">
        <f t="shared" si="89"/>
        <v>5.7329999999999997</v>
      </c>
      <c r="P153" s="30">
        <f t="shared" si="89"/>
        <v>5.7329999999999997</v>
      </c>
      <c r="Q153" s="30">
        <f t="shared" si="89"/>
        <v>5.7329999999999997</v>
      </c>
      <c r="R153" s="30">
        <f t="shared" si="89"/>
        <v>5.7329999999999997</v>
      </c>
      <c r="S153" s="30">
        <f t="shared" si="89"/>
        <v>5.7329999999999997</v>
      </c>
      <c r="T153" s="30">
        <f t="shared" si="89"/>
        <v>5.7329999999999997</v>
      </c>
      <c r="U153" s="30">
        <f t="shared" si="89"/>
        <v>5.7329999999999997</v>
      </c>
      <c r="V153" s="30">
        <f t="shared" si="89"/>
        <v>5.7329999999999997</v>
      </c>
      <c r="X153" s="30">
        <f t="shared" ref="X153:AE153" si="90">IFERROR(X115/(-X23)*365,"")</f>
        <v>0</v>
      </c>
      <c r="Y153" s="30">
        <f t="shared" si="90"/>
        <v>8.5629307631039353</v>
      </c>
      <c r="Z153" s="30">
        <f t="shared" si="90"/>
        <v>4.7637043130517176</v>
      </c>
      <c r="AA153" s="30">
        <f t="shared" si="90"/>
        <v>6.0552294053774505</v>
      </c>
      <c r="AB153" s="30">
        <f t="shared" si="90"/>
        <v>6.0344242719969783</v>
      </c>
      <c r="AC153" s="30">
        <f t="shared" si="90"/>
        <v>22.995000000000001</v>
      </c>
      <c r="AD153" s="30">
        <f t="shared" si="90"/>
        <v>22.995000000000001</v>
      </c>
      <c r="AE153" s="30">
        <f t="shared" si="90"/>
        <v>22.995000000000001</v>
      </c>
    </row>
    <row r="155" spans="2:31" x14ac:dyDescent="0.2">
      <c r="D155" s="19" t="s">
        <v>116</v>
      </c>
      <c r="G155" s="24">
        <f t="shared" ref="G155:V155" si="91">IFERROR(G101/G10,"")</f>
        <v>0</v>
      </c>
      <c r="H155" s="24">
        <f t="shared" si="91"/>
        <v>0</v>
      </c>
      <c r="I155" s="24">
        <f t="shared" si="91"/>
        <v>0</v>
      </c>
      <c r="J155" s="24">
        <f t="shared" si="91"/>
        <v>0.46585020742408584</v>
      </c>
      <c r="K155" s="24">
        <f t="shared" si="91"/>
        <v>0.43471444611274468</v>
      </c>
      <c r="L155" s="24">
        <f t="shared" si="91"/>
        <v>0.43724690397207822</v>
      </c>
      <c r="M155" s="24">
        <f t="shared" si="91"/>
        <v>0.43243152602966678</v>
      </c>
      <c r="N155" s="24">
        <f t="shared" si="91"/>
        <v>0.45465540704400931</v>
      </c>
      <c r="O155" s="24">
        <f t="shared" si="91"/>
        <v>0.45</v>
      </c>
      <c r="P155" s="24">
        <f t="shared" si="91"/>
        <v>0.44</v>
      </c>
      <c r="Q155" s="24">
        <f t="shared" si="91"/>
        <v>0.43</v>
      </c>
      <c r="R155" s="24">
        <f t="shared" si="91"/>
        <v>0.43</v>
      </c>
      <c r="S155" s="24">
        <f t="shared" si="91"/>
        <v>0.42</v>
      </c>
      <c r="T155" s="24">
        <f t="shared" si="91"/>
        <v>0.41</v>
      </c>
      <c r="U155" s="24">
        <f t="shared" si="91"/>
        <v>0.4</v>
      </c>
      <c r="V155" s="24">
        <f t="shared" si="91"/>
        <v>0.4</v>
      </c>
      <c r="X155" s="24">
        <f t="shared" ref="X155:AE155" si="92">IFERROR(X101/X10,"")</f>
        <v>0</v>
      </c>
      <c r="Y155" s="24">
        <f t="shared" si="92"/>
        <v>0.12918484714651379</v>
      </c>
      <c r="Z155" s="24">
        <f t="shared" si="92"/>
        <v>0.11792918322457324</v>
      </c>
      <c r="AA155" s="24">
        <f t="shared" si="92"/>
        <v>0.11757121715962048</v>
      </c>
      <c r="AB155" s="24">
        <f t="shared" si="92"/>
        <v>0.10910414248710566</v>
      </c>
      <c r="AC155" s="24">
        <f t="shared" si="92"/>
        <v>0.39</v>
      </c>
      <c r="AD155" s="24">
        <f t="shared" si="92"/>
        <v>0.37</v>
      </c>
      <c r="AE155" s="24">
        <f t="shared" si="92"/>
        <v>0.36</v>
      </c>
    </row>
    <row r="156" spans="2:31" x14ac:dyDescent="0.2">
      <c r="D156" s="19" t="s">
        <v>117</v>
      </c>
      <c r="G156" s="24">
        <f t="shared" ref="G156:V156" si="93">IFERROR(G103/G10,"")</f>
        <v>0</v>
      </c>
      <c r="H156" s="24">
        <f t="shared" si="93"/>
        <v>0</v>
      </c>
      <c r="I156" s="24">
        <f t="shared" si="93"/>
        <v>0</v>
      </c>
      <c r="J156" s="24">
        <f t="shared" si="93"/>
        <v>0.15268417562419997</v>
      </c>
      <c r="K156" s="24">
        <f t="shared" si="93"/>
        <v>0.1373097364569468</v>
      </c>
      <c r="L156" s="24">
        <f t="shared" si="93"/>
        <v>0.16715882977412014</v>
      </c>
      <c r="M156" s="24">
        <f t="shared" si="93"/>
        <v>0.17900824672428309</v>
      </c>
      <c r="N156" s="24">
        <f t="shared" si="93"/>
        <v>0.13413769507265361</v>
      </c>
      <c r="O156" s="24">
        <f t="shared" si="93"/>
        <v>0.13500000000000001</v>
      </c>
      <c r="P156" s="24">
        <f t="shared" si="93"/>
        <v>0.13</v>
      </c>
      <c r="Q156" s="24">
        <f t="shared" si="93"/>
        <v>0.13</v>
      </c>
      <c r="R156" s="24">
        <f t="shared" si="93"/>
        <v>0.128</v>
      </c>
      <c r="S156" s="24">
        <f t="shared" si="93"/>
        <v>0.125</v>
      </c>
      <c r="T156" s="24">
        <f t="shared" si="93"/>
        <v>0.12199999999999998</v>
      </c>
      <c r="U156" s="24">
        <f t="shared" si="93"/>
        <v>0.12000000000000001</v>
      </c>
      <c r="V156" s="24">
        <f t="shared" si="93"/>
        <v>0.11799999999999999</v>
      </c>
      <c r="X156" s="24">
        <f t="shared" ref="X156:AE156" si="94">IFERROR(X103/X10,"")</f>
        <v>0</v>
      </c>
      <c r="Y156" s="24">
        <f t="shared" si="94"/>
        <v>4.2111579190195959E-2</v>
      </c>
      <c r="Z156" s="24">
        <f t="shared" si="94"/>
        <v>4.8817662579969542E-2</v>
      </c>
      <c r="AA156" s="24">
        <f t="shared" si="94"/>
        <v>3.4997943712631215E-2</v>
      </c>
      <c r="AB156" s="24">
        <f t="shared" si="94"/>
        <v>3.2185722033696171E-2</v>
      </c>
      <c r="AC156" s="24">
        <f t="shared" si="94"/>
        <v>0.11799999999999999</v>
      </c>
      <c r="AD156" s="24">
        <f t="shared" si="94"/>
        <v>0.115</v>
      </c>
      <c r="AE156" s="24">
        <f t="shared" si="94"/>
        <v>0.11199999999999999</v>
      </c>
    </row>
    <row r="157" spans="2:31" x14ac:dyDescent="0.2">
      <c r="D157" s="19" t="s">
        <v>118</v>
      </c>
      <c r="G157" s="24">
        <f t="shared" ref="G157:V157" si="95">IFERROR(G115/(-G23),"")</f>
        <v>0</v>
      </c>
      <c r="H157" s="24">
        <f t="shared" si="95"/>
        <v>0</v>
      </c>
      <c r="I157" s="24">
        <f t="shared" si="95"/>
        <v>0</v>
      </c>
      <c r="J157" s="24">
        <f t="shared" si="95"/>
        <v>8.3737580394889446E-2</v>
      </c>
      <c r="K157" s="24">
        <f t="shared" si="95"/>
        <v>3.7221547970886712E-2</v>
      </c>
      <c r="L157" s="24">
        <f t="shared" si="95"/>
        <v>7.4283444809846569E-2</v>
      </c>
      <c r="M157" s="24">
        <f t="shared" si="95"/>
        <v>6.6230835350965203E-2</v>
      </c>
      <c r="N157" s="24">
        <f t="shared" si="95"/>
        <v>7.0991294580174114E-2</v>
      </c>
      <c r="O157" s="24">
        <f t="shared" si="95"/>
        <v>6.3E-2</v>
      </c>
      <c r="P157" s="24">
        <f t="shared" si="95"/>
        <v>6.3E-2</v>
      </c>
      <c r="Q157" s="24">
        <f t="shared" si="95"/>
        <v>6.3E-2</v>
      </c>
      <c r="R157" s="24">
        <f t="shared" si="95"/>
        <v>6.3E-2</v>
      </c>
      <c r="S157" s="24">
        <f t="shared" si="95"/>
        <v>6.3E-2</v>
      </c>
      <c r="T157" s="24">
        <f t="shared" si="95"/>
        <v>6.3E-2</v>
      </c>
      <c r="U157" s="24">
        <f t="shared" si="95"/>
        <v>6.3E-2</v>
      </c>
      <c r="V157" s="24">
        <f t="shared" si="95"/>
        <v>6.3E-2</v>
      </c>
      <c r="X157" s="24">
        <f t="shared" ref="X157:AE157" si="96">IFERROR(X115/(-X23),"")</f>
        <v>0</v>
      </c>
      <c r="Y157" s="24">
        <f t="shared" si="96"/>
        <v>2.3460084282476534E-2</v>
      </c>
      <c r="Z157" s="24">
        <f t="shared" si="96"/>
        <v>1.3051244693292377E-2</v>
      </c>
      <c r="AA157" s="24">
        <f t="shared" si="96"/>
        <v>1.6589669603773838E-2</v>
      </c>
      <c r="AB157" s="24">
        <f t="shared" si="96"/>
        <v>1.6532669238347886E-2</v>
      </c>
      <c r="AC157" s="24">
        <f t="shared" si="96"/>
        <v>6.3E-2</v>
      </c>
      <c r="AD157" s="24">
        <f t="shared" si="96"/>
        <v>6.3E-2</v>
      </c>
      <c r="AE157" s="24">
        <f t="shared" si="96"/>
        <v>6.3E-2</v>
      </c>
    </row>
    <row r="158" spans="2:31" x14ac:dyDescent="0.2">
      <c r="D158" s="19" t="s">
        <v>119</v>
      </c>
      <c r="G158" s="24">
        <f t="shared" ref="G158:V158" si="97">IFERROR(G116/(-G23),"")</f>
        <v>0</v>
      </c>
      <c r="H158" s="24">
        <f t="shared" si="97"/>
        <v>0</v>
      </c>
      <c r="I158" s="24">
        <f t="shared" si="97"/>
        <v>0</v>
      </c>
      <c r="J158" s="24">
        <f t="shared" si="97"/>
        <v>0.38126267562206551</v>
      </c>
      <c r="K158" s="24">
        <f t="shared" si="97"/>
        <v>0.12137889308289987</v>
      </c>
      <c r="L158" s="24">
        <f t="shared" si="97"/>
        <v>0.33700364494792401</v>
      </c>
      <c r="M158" s="24">
        <f t="shared" si="97"/>
        <v>0.34564345619484327</v>
      </c>
      <c r="N158" s="24">
        <f t="shared" si="97"/>
        <v>0.34641580080501733</v>
      </c>
      <c r="O158" s="24">
        <f t="shared" si="97"/>
        <v>0.31</v>
      </c>
      <c r="P158" s="24">
        <f t="shared" si="97"/>
        <v>0.31</v>
      </c>
      <c r="Q158" s="24">
        <f t="shared" si="97"/>
        <v>0.30499999999999999</v>
      </c>
      <c r="R158" s="24">
        <f t="shared" si="97"/>
        <v>0.30499999999999999</v>
      </c>
      <c r="S158" s="24">
        <f t="shared" si="97"/>
        <v>0.3</v>
      </c>
      <c r="T158" s="24">
        <f t="shared" si="97"/>
        <v>0.3</v>
      </c>
      <c r="U158" s="24">
        <f t="shared" si="97"/>
        <v>0.29499999999999998</v>
      </c>
      <c r="V158" s="24">
        <f t="shared" si="97"/>
        <v>0.28999999999999998</v>
      </c>
      <c r="X158" s="24">
        <f t="shared" ref="X158:AE158" si="98">IFERROR(X116/(-X23),"")</f>
        <v>0</v>
      </c>
      <c r="Y158" s="24">
        <f t="shared" si="98"/>
        <v>0.14698973858557537</v>
      </c>
      <c r="Z158" s="24">
        <f t="shared" si="98"/>
        <v>6.8111436304999634E-2</v>
      </c>
      <c r="AA158" s="24">
        <f t="shared" si="98"/>
        <v>8.0315067129381287E-2</v>
      </c>
      <c r="AB158" s="24">
        <f t="shared" si="98"/>
        <v>7.6102763160648998E-2</v>
      </c>
      <c r="AC158" s="24">
        <f t="shared" si="98"/>
        <v>0.29499999999999998</v>
      </c>
      <c r="AD158" s="24">
        <f t="shared" si="98"/>
        <v>0.28999999999999998</v>
      </c>
      <c r="AE158" s="24">
        <f t="shared" si="98"/>
        <v>0.28499999999999998</v>
      </c>
    </row>
    <row r="160" spans="2:31" x14ac:dyDescent="0.2">
      <c r="D160" s="19" t="s">
        <v>120</v>
      </c>
      <c r="G160" s="24">
        <f t="shared" ref="G160:V160" si="99">IFERROR(G107/G10,"")</f>
        <v>0</v>
      </c>
      <c r="H160" s="24">
        <f t="shared" si="99"/>
        <v>0</v>
      </c>
      <c r="I160" s="24">
        <f t="shared" si="99"/>
        <v>0</v>
      </c>
      <c r="J160" s="24">
        <f t="shared" si="99"/>
        <v>0.1748415403358882</v>
      </c>
      <c r="K160" s="24">
        <f t="shared" si="99"/>
        <v>0.16870428610108132</v>
      </c>
      <c r="L160" s="24">
        <f t="shared" si="99"/>
        <v>0.15911127301897451</v>
      </c>
      <c r="M160" s="24">
        <f t="shared" si="99"/>
        <v>0.15816003139054058</v>
      </c>
      <c r="N160" s="24">
        <f t="shared" si="99"/>
        <v>0.14618149576682882</v>
      </c>
      <c r="O160" s="24">
        <f t="shared" si="99"/>
        <v>0.15350970611856135</v>
      </c>
      <c r="P160" s="24">
        <f t="shared" si="99"/>
        <v>0.15339999389731213</v>
      </c>
      <c r="Q160" s="24">
        <f t="shared" si="99"/>
        <v>0.14773912975136749</v>
      </c>
      <c r="R160" s="24">
        <f t="shared" si="99"/>
        <v>0.14468860319561239</v>
      </c>
      <c r="S160" s="24">
        <f t="shared" si="99"/>
        <v>0.14948420697571224</v>
      </c>
      <c r="T160" s="24">
        <f t="shared" si="99"/>
        <v>0.14989112056290696</v>
      </c>
      <c r="U160" s="24">
        <f t="shared" si="99"/>
        <v>0.14506468053522464</v>
      </c>
      <c r="V160" s="24">
        <f t="shared" si="99"/>
        <v>0.14214580711531932</v>
      </c>
      <c r="X160" s="24">
        <f t="shared" ref="X160:AE160" si="100">IFERROR(X107/X10,"")</f>
        <v>0</v>
      </c>
      <c r="Y160" s="24">
        <f t="shared" si="100"/>
        <v>5.5400536315440015E-2</v>
      </c>
      <c r="Z160" s="24">
        <f t="shared" si="100"/>
        <v>4.3132108086355675E-2</v>
      </c>
      <c r="AA160" s="24">
        <f t="shared" si="100"/>
        <v>3.9560965550775581E-2</v>
      </c>
      <c r="AB160" s="24">
        <f t="shared" si="100"/>
        <v>3.8771740983636095E-2</v>
      </c>
      <c r="AC160" s="24">
        <f t="shared" si="100"/>
        <v>4.1991262020628958E-2</v>
      </c>
      <c r="AD160" s="24">
        <f t="shared" si="100"/>
        <v>4.2823029725513315E-2</v>
      </c>
      <c r="AE160" s="24">
        <f t="shared" si="100"/>
        <v>4.4892009453003749E-2</v>
      </c>
    </row>
    <row r="161" spans="2:31" x14ac:dyDescent="0.2">
      <c r="D161" s="19" t="s">
        <v>121</v>
      </c>
      <c r="G161" s="24" t="str">
        <f t="shared" ref="G161:V161" si="101">IFERROR(-G22/G107,"")</f>
        <v/>
      </c>
      <c r="H161" s="24" t="str">
        <f t="shared" si="101"/>
        <v/>
      </c>
      <c r="I161" s="24" t="str">
        <f t="shared" si="101"/>
        <v/>
      </c>
      <c r="J161" s="24">
        <f t="shared" si="101"/>
        <v>4.1974464707049769E-2</v>
      </c>
      <c r="K161" s="24">
        <f t="shared" si="101"/>
        <v>4.3725659644672898E-2</v>
      </c>
      <c r="L161" s="24">
        <f t="shared" si="101"/>
        <v>4.6160962072155406E-2</v>
      </c>
      <c r="M161" s="24">
        <f t="shared" si="101"/>
        <v>4.5419847328244278E-2</v>
      </c>
      <c r="N161" s="24">
        <f t="shared" si="101"/>
        <v>4.4042436282175919E-2</v>
      </c>
      <c r="O161" s="24">
        <f t="shared" si="101"/>
        <v>4.2342599463904937E-2</v>
      </c>
      <c r="P161" s="24">
        <f t="shared" si="101"/>
        <v>4.2372883041645895E-2</v>
      </c>
      <c r="Q161" s="24">
        <f t="shared" si="101"/>
        <v>4.3996468714408647E-2</v>
      </c>
      <c r="R161" s="24">
        <f t="shared" si="101"/>
        <v>4.4924063515993012E-2</v>
      </c>
      <c r="S161" s="24">
        <f t="shared" si="101"/>
        <v>4.3482854353009352E-2</v>
      </c>
      <c r="T161" s="24">
        <f t="shared" si="101"/>
        <v>4.336481024085781E-2</v>
      </c>
      <c r="U161" s="24">
        <f t="shared" si="101"/>
        <v>4.4807598762275337E-2</v>
      </c>
      <c r="V161" s="24">
        <f t="shared" si="101"/>
        <v>4.5727694202944112E-2</v>
      </c>
      <c r="X161" s="24" t="str">
        <f t="shared" ref="X161:AE161" si="102">IFERROR(-X22/X107,"")</f>
        <v/>
      </c>
      <c r="Y161" s="24">
        <f t="shared" si="102"/>
        <v>0.16019417475728154</v>
      </c>
      <c r="Z161" s="24">
        <f t="shared" si="102"/>
        <v>0.16941263782866836</v>
      </c>
      <c r="AA161" s="24">
        <f t="shared" si="102"/>
        <v>0.16430337099981548</v>
      </c>
      <c r="AB161" s="24">
        <f t="shared" si="102"/>
        <v>0.16764787536219677</v>
      </c>
      <c r="AC161" s="24">
        <f t="shared" si="102"/>
        <v>0.15479410923174344</v>
      </c>
      <c r="AD161" s="24">
        <f t="shared" si="102"/>
        <v>0.15178748541762796</v>
      </c>
      <c r="AE161" s="24">
        <f t="shared" si="102"/>
        <v>0.1447919146235741</v>
      </c>
    </row>
    <row r="163" spans="2:31" x14ac:dyDescent="0.2">
      <c r="D163" s="19" t="s">
        <v>122</v>
      </c>
      <c r="G163" s="24">
        <f t="shared" ref="G163:V163" si="103">IFERROR(G102/G10,"")</f>
        <v>0</v>
      </c>
      <c r="H163" s="24">
        <f t="shared" si="103"/>
        <v>0</v>
      </c>
      <c r="I163" s="24">
        <f t="shared" si="103"/>
        <v>0</v>
      </c>
      <c r="J163" s="24">
        <f t="shared" si="103"/>
        <v>0.19297765371744058</v>
      </c>
      <c r="K163" s="24">
        <f t="shared" si="103"/>
        <v>0.21607538781669566</v>
      </c>
      <c r="L163" s="24">
        <f t="shared" si="103"/>
        <v>0.20053760770092674</v>
      </c>
      <c r="M163" s="24">
        <f t="shared" si="103"/>
        <v>0.12003025028590211</v>
      </c>
      <c r="N163" s="24">
        <f t="shared" si="103"/>
        <v>0.16344937417649721</v>
      </c>
      <c r="O163" s="24">
        <f t="shared" si="103"/>
        <v>0.16500000000000001</v>
      </c>
      <c r="P163" s="24">
        <f t="shared" si="103"/>
        <v>0.17</v>
      </c>
      <c r="Q163" s="24">
        <f t="shared" si="103"/>
        <v>0.17499999999999999</v>
      </c>
      <c r="R163" s="24">
        <f t="shared" si="103"/>
        <v>0.17999999999999997</v>
      </c>
      <c r="S163" s="24">
        <f t="shared" si="103"/>
        <v>0.18</v>
      </c>
      <c r="T163" s="24">
        <f t="shared" si="103"/>
        <v>0.18</v>
      </c>
      <c r="U163" s="24">
        <f t="shared" si="103"/>
        <v>0.18</v>
      </c>
      <c r="V163" s="24">
        <f t="shared" si="103"/>
        <v>0.18</v>
      </c>
      <c r="X163" s="24">
        <f t="shared" ref="X163:AE163" si="104">IFERROR(X102/X10,"")</f>
        <v>0</v>
      </c>
      <c r="Y163" s="24">
        <f t="shared" si="104"/>
        <v>5.9643129705982727E-2</v>
      </c>
      <c r="Z163" s="24">
        <f t="shared" si="104"/>
        <v>3.2733666549294167E-2</v>
      </c>
      <c r="AA163" s="24">
        <f t="shared" si="104"/>
        <v>4.9215858345887632E-2</v>
      </c>
      <c r="AB163" s="24">
        <f t="shared" si="104"/>
        <v>4.9096864119197545E-2</v>
      </c>
      <c r="AC163" s="24">
        <f t="shared" si="104"/>
        <v>0.18</v>
      </c>
      <c r="AD163" s="24">
        <f t="shared" si="104"/>
        <v>0.17499999999999999</v>
      </c>
      <c r="AE163" s="24">
        <f t="shared" si="104"/>
        <v>0.17499999999999999</v>
      </c>
    </row>
    <row r="167" spans="2:31" ht="16" x14ac:dyDescent="0.2">
      <c r="B167" s="25" t="s">
        <v>123</v>
      </c>
      <c r="C167" s="25"/>
      <c r="D167" s="25"/>
      <c r="E167" s="25"/>
      <c r="F167" s="25"/>
      <c r="G167" s="25"/>
      <c r="H167" s="25"/>
      <c r="I167" s="25"/>
      <c r="J167" s="25"/>
      <c r="K167" s="25"/>
      <c r="L167" s="25"/>
      <c r="M167" s="25"/>
      <c r="N167" s="25"/>
      <c r="O167" s="25"/>
      <c r="P167" s="25"/>
      <c r="Q167" s="25"/>
      <c r="R167" s="25"/>
      <c r="S167" s="25"/>
      <c r="T167" s="25"/>
      <c r="U167" s="25"/>
      <c r="V167" s="25"/>
      <c r="X167" s="25"/>
      <c r="Y167" s="25"/>
      <c r="Z167" s="25"/>
      <c r="AA167" s="25"/>
      <c r="AB167" s="25"/>
      <c r="AC167" s="25"/>
      <c r="AD167" s="25"/>
      <c r="AE167" s="25"/>
    </row>
    <row r="169" spans="2:31" x14ac:dyDescent="0.2">
      <c r="C169" s="19" t="s">
        <v>124</v>
      </c>
      <c r="J169" s="24">
        <v>0.46585020742408578</v>
      </c>
      <c r="K169" s="24">
        <v>0.43471444611274468</v>
      </c>
      <c r="L169" s="24">
        <v>0.43724690397207822</v>
      </c>
      <c r="M169" s="24">
        <v>0.43243152602966678</v>
      </c>
      <c r="N169" s="24">
        <v>0.45465540704400931</v>
      </c>
      <c r="O169" s="7">
        <v>0.45</v>
      </c>
      <c r="P169" s="7">
        <v>0.44</v>
      </c>
      <c r="Q169" s="7">
        <v>0.43</v>
      </c>
      <c r="R169" s="7">
        <v>0.43</v>
      </c>
      <c r="S169" s="7">
        <v>0.42</v>
      </c>
      <c r="T169" s="7">
        <v>0.41</v>
      </c>
      <c r="U169" s="7">
        <v>0.4</v>
      </c>
      <c r="V169" s="7">
        <v>0.4</v>
      </c>
      <c r="AA169" s="7">
        <v>0.44</v>
      </c>
      <c r="AB169" s="7">
        <v>0.41</v>
      </c>
      <c r="AC169" s="7">
        <v>0.39</v>
      </c>
      <c r="AD169" s="7">
        <v>0.37</v>
      </c>
      <c r="AE169" s="7">
        <v>0.36</v>
      </c>
    </row>
    <row r="170" spans="2:31" x14ac:dyDescent="0.2">
      <c r="C170" s="19" t="s">
        <v>125</v>
      </c>
      <c r="J170" s="24">
        <v>0.1526841756242</v>
      </c>
      <c r="K170" s="24">
        <v>0.1373097364569468</v>
      </c>
      <c r="L170" s="24">
        <v>0.16715882977412011</v>
      </c>
      <c r="M170" s="24">
        <v>0.17900824672428309</v>
      </c>
      <c r="N170" s="24">
        <v>0.13413769507265361</v>
      </c>
      <c r="O170" s="7">
        <v>0.13500000000000001</v>
      </c>
      <c r="P170" s="7">
        <v>0.13</v>
      </c>
      <c r="Q170" s="7">
        <v>0.13</v>
      </c>
      <c r="R170" s="7">
        <v>0.128</v>
      </c>
      <c r="S170" s="7">
        <v>0.125</v>
      </c>
      <c r="T170" s="7">
        <v>0.122</v>
      </c>
      <c r="U170" s="7">
        <v>0.12</v>
      </c>
      <c r="V170" s="7">
        <v>0.11799999999999999</v>
      </c>
      <c r="AA170" s="7">
        <v>0.13100000000000001</v>
      </c>
      <c r="AB170" s="7">
        <v>0.123</v>
      </c>
      <c r="AC170" s="7">
        <v>0.11799999999999999</v>
      </c>
      <c r="AD170" s="7">
        <v>0.115</v>
      </c>
      <c r="AE170" s="7">
        <v>0.112</v>
      </c>
    </row>
    <row r="171" spans="2:31" x14ac:dyDescent="0.2">
      <c r="C171" s="19" t="s">
        <v>126</v>
      </c>
      <c r="J171" s="24">
        <v>0.19297765371744061</v>
      </c>
      <c r="K171" s="24">
        <v>0.21607538781669569</v>
      </c>
      <c r="L171" s="24">
        <v>0.20053760770092671</v>
      </c>
      <c r="M171" s="24">
        <v>0.1200302502859021</v>
      </c>
      <c r="N171" s="24">
        <v>0.16344937417649719</v>
      </c>
      <c r="O171" s="7">
        <v>0.16500000000000001</v>
      </c>
      <c r="P171" s="7">
        <v>0.17</v>
      </c>
      <c r="Q171" s="7">
        <v>0.17499999999999999</v>
      </c>
      <c r="R171" s="7">
        <v>0.18</v>
      </c>
      <c r="S171" s="7">
        <v>0.18</v>
      </c>
      <c r="T171" s="7">
        <v>0.18</v>
      </c>
      <c r="U171" s="7">
        <v>0.18</v>
      </c>
      <c r="V171" s="7">
        <v>0.18</v>
      </c>
      <c r="AA171" s="7">
        <v>0.17299999999999999</v>
      </c>
      <c r="AB171" s="7">
        <v>0.18</v>
      </c>
      <c r="AC171" s="7">
        <v>0.18</v>
      </c>
      <c r="AD171" s="7">
        <v>0.17499999999999999</v>
      </c>
      <c r="AE171" s="7">
        <v>0.17499999999999999</v>
      </c>
    </row>
    <row r="172" spans="2:31" x14ac:dyDescent="0.2">
      <c r="C172" s="19" t="s">
        <v>127</v>
      </c>
      <c r="J172" s="24">
        <v>0.34231142914424068</v>
      </c>
      <c r="K172" s="24">
        <v>0.40326309431618729</v>
      </c>
      <c r="L172" s="24">
        <v>0.42124562342806787</v>
      </c>
      <c r="M172" s="24">
        <v>0.42123020065128669</v>
      </c>
      <c r="N172" s="24">
        <v>0.35755583599917828</v>
      </c>
      <c r="O172" s="7">
        <v>0.36</v>
      </c>
      <c r="P172" s="7">
        <v>0.36</v>
      </c>
      <c r="Q172" s="7">
        <v>0.36</v>
      </c>
      <c r="R172" s="7">
        <v>0.36</v>
      </c>
      <c r="S172" s="7">
        <v>0.36</v>
      </c>
      <c r="T172" s="7">
        <v>0.36</v>
      </c>
      <c r="U172" s="7">
        <v>0.36</v>
      </c>
      <c r="V172" s="7">
        <v>0.36</v>
      </c>
      <c r="AA172" s="7">
        <v>0.36</v>
      </c>
      <c r="AB172" s="7">
        <v>0.36</v>
      </c>
      <c r="AC172" s="7">
        <v>0.36</v>
      </c>
      <c r="AD172" s="7">
        <v>0.36</v>
      </c>
      <c r="AE172" s="7">
        <v>0.36</v>
      </c>
    </row>
    <row r="173" spans="2:31" x14ac:dyDescent="0.2">
      <c r="C173" s="19" t="s">
        <v>128</v>
      </c>
      <c r="J173" s="24">
        <v>0.1748415403358882</v>
      </c>
      <c r="K173" s="24">
        <v>0.16870428610108129</v>
      </c>
      <c r="L173" s="24">
        <v>0.15911127301897449</v>
      </c>
      <c r="M173" s="24">
        <v>0.15816003139054061</v>
      </c>
      <c r="N173" s="24">
        <v>0.14618149576682879</v>
      </c>
      <c r="O173" s="7">
        <v>0.14599999999999999</v>
      </c>
      <c r="P173" s="7">
        <v>0.14599999999999999</v>
      </c>
      <c r="Q173" s="7">
        <v>0.14499999999999999</v>
      </c>
      <c r="R173" s="7">
        <v>0.14299999999999999</v>
      </c>
      <c r="S173" s="7">
        <v>0.14000000000000001</v>
      </c>
      <c r="T173" s="7">
        <v>0.13800000000000001</v>
      </c>
      <c r="U173" s="7">
        <v>0.13500000000000001</v>
      </c>
      <c r="V173" s="7">
        <v>0.13</v>
      </c>
      <c r="AA173" s="7">
        <v>0.14499999999999999</v>
      </c>
      <c r="AB173" s="7">
        <v>0.13900000000000001</v>
      </c>
      <c r="AC173" s="7">
        <v>0.13300000000000001</v>
      </c>
      <c r="AD173" s="7">
        <v>0.128</v>
      </c>
      <c r="AE173" s="7">
        <v>0.122</v>
      </c>
    </row>
    <row r="174" spans="2:31" x14ac:dyDescent="0.2">
      <c r="C174" s="19" t="s">
        <v>129</v>
      </c>
      <c r="J174" s="24">
        <v>8.3737580394889446E-2</v>
      </c>
      <c r="K174" s="24">
        <v>3.7221547970886712E-2</v>
      </c>
      <c r="L174" s="24">
        <v>7.4283444809846569E-2</v>
      </c>
      <c r="M174" s="24">
        <v>6.6230835350965203E-2</v>
      </c>
      <c r="N174" s="24">
        <v>7.0991294580174114E-2</v>
      </c>
      <c r="O174" s="7">
        <v>6.3E-2</v>
      </c>
      <c r="P174" s="7">
        <v>6.3E-2</v>
      </c>
      <c r="Q174" s="7">
        <v>6.3E-2</v>
      </c>
      <c r="R174" s="7">
        <v>6.3E-2</v>
      </c>
      <c r="S174" s="7">
        <v>6.3E-2</v>
      </c>
      <c r="T174" s="7">
        <v>6.3E-2</v>
      </c>
      <c r="U174" s="7">
        <v>6.3E-2</v>
      </c>
      <c r="V174" s="7">
        <v>6.3E-2</v>
      </c>
      <c r="AA174" s="7">
        <v>6.3E-2</v>
      </c>
      <c r="AB174" s="7">
        <v>6.3E-2</v>
      </c>
      <c r="AC174" s="7">
        <v>6.3E-2</v>
      </c>
      <c r="AD174" s="7">
        <v>6.3E-2</v>
      </c>
      <c r="AE174" s="7">
        <v>6.3E-2</v>
      </c>
    </row>
    <row r="175" spans="2:31" x14ac:dyDescent="0.2">
      <c r="C175" s="19" t="s">
        <v>130</v>
      </c>
      <c r="J175" s="24">
        <v>0.38126267562206551</v>
      </c>
      <c r="K175" s="24">
        <v>0.1213788930828999</v>
      </c>
      <c r="L175" s="24">
        <v>0.33700364494792401</v>
      </c>
      <c r="M175" s="24">
        <v>0.34564345619484332</v>
      </c>
      <c r="N175" s="24">
        <v>0.34641580080501733</v>
      </c>
      <c r="O175" s="7">
        <v>0.31</v>
      </c>
      <c r="P175" s="7">
        <v>0.31</v>
      </c>
      <c r="Q175" s="7">
        <v>0.30499999999999999</v>
      </c>
      <c r="R175" s="7">
        <v>0.30499999999999999</v>
      </c>
      <c r="S175" s="7">
        <v>0.3</v>
      </c>
      <c r="T175" s="7">
        <v>0.3</v>
      </c>
      <c r="U175" s="7">
        <v>0.29499999999999998</v>
      </c>
      <c r="V175" s="7">
        <v>0.28999999999999998</v>
      </c>
      <c r="AA175" s="7">
        <v>0.308</v>
      </c>
      <c r="AB175" s="7">
        <v>0.3</v>
      </c>
      <c r="AC175" s="7">
        <v>0.29499999999999998</v>
      </c>
      <c r="AD175" s="7">
        <v>0.28999999999999998</v>
      </c>
      <c r="AE175" s="7">
        <v>0.28499999999999998</v>
      </c>
    </row>
    <row r="176" spans="2:31" x14ac:dyDescent="0.2">
      <c r="C176" s="19" t="s">
        <v>131</v>
      </c>
      <c r="J176" s="24">
        <v>0.24033434603580961</v>
      </c>
      <c r="K176" s="24">
        <v>0.26314354471938789</v>
      </c>
      <c r="L176" s="24">
        <v>0.24709715759706649</v>
      </c>
      <c r="M176" s="24">
        <v>0.24713678696353539</v>
      </c>
      <c r="N176" s="24">
        <v>0.18712300370566601</v>
      </c>
      <c r="O176" s="7">
        <v>0.19</v>
      </c>
      <c r="P176" s="7">
        <v>0.19</v>
      </c>
      <c r="Q176" s="7">
        <v>0.19</v>
      </c>
      <c r="R176" s="7">
        <v>0.19</v>
      </c>
      <c r="S176" s="7">
        <v>0.19</v>
      </c>
      <c r="T176" s="7">
        <v>0.19</v>
      </c>
      <c r="U176" s="7">
        <v>0.19</v>
      </c>
      <c r="V176" s="7">
        <v>0.19</v>
      </c>
      <c r="AA176" s="7">
        <v>0.19</v>
      </c>
      <c r="AB176" s="7">
        <v>0.185</v>
      </c>
      <c r="AC176" s="7">
        <v>0.18</v>
      </c>
      <c r="AD176" s="7">
        <v>0.17499999999999999</v>
      </c>
      <c r="AE176" s="7">
        <v>0.17</v>
      </c>
    </row>
    <row r="177" spans="2:31" x14ac:dyDescent="0.2">
      <c r="C177" s="19" t="s">
        <v>132</v>
      </c>
      <c r="G177" s="24">
        <v>1.6706835253270311E-2</v>
      </c>
      <c r="H177" s="24">
        <v>2.4021561093320001E-2</v>
      </c>
      <c r="I177" s="24">
        <v>1.7080797622955651E-2</v>
      </c>
      <c r="J177" s="24">
        <v>1.6763567385839642E-2</v>
      </c>
      <c r="K177" s="24">
        <v>1.723276954041379</v>
      </c>
      <c r="L177" s="24">
        <v>0.15593751092418109</v>
      </c>
      <c r="M177" s="24">
        <v>0.112851676342063</v>
      </c>
      <c r="N177" s="24">
        <v>9.3687392548815474E-2</v>
      </c>
      <c r="O177" s="7">
        <v>8.5000000000000006E-2</v>
      </c>
      <c r="P177" s="7">
        <v>0.08</v>
      </c>
      <c r="Q177" s="7">
        <v>7.4999999999999997E-2</v>
      </c>
      <c r="R177" s="7">
        <v>7.0000000000000007E-2</v>
      </c>
      <c r="S177" s="7">
        <v>6.5000000000000002E-2</v>
      </c>
      <c r="T177" s="7">
        <v>0.06</v>
      </c>
      <c r="U177" s="7">
        <v>5.5E-2</v>
      </c>
      <c r="V177" s="7">
        <v>0.05</v>
      </c>
      <c r="AA177" s="7">
        <v>8.2000000000000003E-2</v>
      </c>
      <c r="AB177" s="7">
        <v>6.3E-2</v>
      </c>
      <c r="AC177" s="7">
        <v>5.1999999999999998E-2</v>
      </c>
      <c r="AD177" s="7">
        <v>4.2999999999999997E-2</v>
      </c>
      <c r="AE177" s="7">
        <v>3.5000000000000003E-2</v>
      </c>
    </row>
    <row r="178" spans="2:31" x14ac:dyDescent="0.2">
      <c r="C178" s="19" t="s">
        <v>133</v>
      </c>
      <c r="G178" s="24">
        <v>5.8300842759503816E-3</v>
      </c>
      <c r="H178" s="24">
        <v>1.464665739052933E-2</v>
      </c>
      <c r="I178" s="24">
        <v>8.1184818565187746E-3</v>
      </c>
      <c r="J178" s="24">
        <v>9.2357694739601814E-3</v>
      </c>
      <c r="K178" s="24">
        <v>9.9006151673107379E-3</v>
      </c>
      <c r="L178" s="24">
        <v>6.8332477797464304E-3</v>
      </c>
      <c r="M178" s="24">
        <v>2.5129200916228171E-2</v>
      </c>
      <c r="N178" s="24">
        <v>1.1510889159034711E-2</v>
      </c>
      <c r="O178" s="7">
        <v>1.2E-2</v>
      </c>
      <c r="P178" s="7">
        <v>1.2E-2</v>
      </c>
      <c r="Q178" s="7">
        <v>1.2E-2</v>
      </c>
      <c r="R178" s="7">
        <v>1.2E-2</v>
      </c>
      <c r="S178" s="7">
        <v>1.2E-2</v>
      </c>
      <c r="T178" s="7">
        <v>1.2E-2</v>
      </c>
      <c r="U178" s="7">
        <v>1.2E-2</v>
      </c>
      <c r="V178" s="7">
        <v>1.2E-2</v>
      </c>
      <c r="AA178" s="7">
        <v>1.2E-2</v>
      </c>
      <c r="AB178" s="7">
        <v>1.2999999999999999E-2</v>
      </c>
      <c r="AC178" s="7">
        <v>1.4E-2</v>
      </c>
      <c r="AD178" s="7">
        <v>1.4E-2</v>
      </c>
      <c r="AE178" s="7">
        <v>1.4999999999999999E-2</v>
      </c>
    </row>
    <row r="181" spans="2:31" ht="16" x14ac:dyDescent="0.2">
      <c r="B181" s="31" t="s">
        <v>134</v>
      </c>
      <c r="C181" s="31"/>
      <c r="D181" s="31"/>
      <c r="E181" s="31"/>
      <c r="F181" s="31"/>
      <c r="G181" s="31"/>
      <c r="H181" s="31"/>
      <c r="I181" s="31"/>
      <c r="J181" s="31"/>
      <c r="K181" s="31"/>
      <c r="L181" s="31"/>
      <c r="M181" s="31"/>
      <c r="N181" s="31"/>
      <c r="O181" s="31"/>
      <c r="P181" s="31"/>
      <c r="Q181" s="31"/>
      <c r="R181" s="31"/>
      <c r="S181" s="31"/>
      <c r="T181" s="31"/>
      <c r="U181" s="31"/>
      <c r="V181" s="31"/>
      <c r="X181" s="31"/>
      <c r="Y181" s="31"/>
      <c r="Z181" s="31"/>
      <c r="AA181" s="31"/>
      <c r="AB181" s="31"/>
      <c r="AC181" s="31"/>
      <c r="AD181" s="31"/>
      <c r="AE181" s="31"/>
    </row>
    <row r="182" spans="2:31" x14ac:dyDescent="0.2">
      <c r="C182" s="9" t="s">
        <v>135</v>
      </c>
    </row>
    <row r="183" spans="2:31" x14ac:dyDescent="0.2">
      <c r="D183" s="19" t="s">
        <v>136</v>
      </c>
      <c r="G183" s="22">
        <f t="shared" ref="G183:V183" si="105">G37</f>
        <v>0.38500000000002582</v>
      </c>
      <c r="H183" s="22">
        <f t="shared" si="105"/>
        <v>-22.026000000000003</v>
      </c>
      <c r="I183" s="22">
        <f t="shared" si="105"/>
        <v>-19.606000000000016</v>
      </c>
      <c r="J183" s="22">
        <f t="shared" si="105"/>
        <v>12.939</v>
      </c>
      <c r="K183" s="22">
        <f t="shared" si="105"/>
        <v>-923.37599999999986</v>
      </c>
      <c r="L183" s="22">
        <f t="shared" si="105"/>
        <v>-54.72199999999998</v>
      </c>
      <c r="M183" s="22">
        <f t="shared" si="105"/>
        <v>-44.777000000000029</v>
      </c>
      <c r="N183" s="22">
        <f t="shared" si="105"/>
        <v>53.45600000000001</v>
      </c>
      <c r="O183" s="22">
        <f t="shared" si="105"/>
        <v>28.557984734999927</v>
      </c>
      <c r="P183" s="22">
        <f t="shared" si="105"/>
        <v>49.214663549999955</v>
      </c>
      <c r="Q183" s="22">
        <f t="shared" si="105"/>
        <v>66.156599699999973</v>
      </c>
      <c r="R183" s="22">
        <f t="shared" si="105"/>
        <v>80.448115612499947</v>
      </c>
      <c r="S183" s="22">
        <f t="shared" si="105"/>
        <v>81.052227593749933</v>
      </c>
      <c r="T183" s="22">
        <f t="shared" si="105"/>
        <v>96.185054539999925</v>
      </c>
      <c r="U183" s="22">
        <f t="shared" si="105"/>
        <v>113.7119889999999</v>
      </c>
      <c r="V183" s="22">
        <f t="shared" si="105"/>
        <v>134.41273221</v>
      </c>
      <c r="X183" s="22">
        <f>X37</f>
        <v>-203.20200000000008</v>
      </c>
      <c r="Y183" s="22">
        <f>Y37</f>
        <v>-25.343999999999838</v>
      </c>
      <c r="Z183" s="22">
        <f>Z37</f>
        <v>-1009.9359999999998</v>
      </c>
      <c r="AA183" s="29">
        <f t="shared" ref="AA183:AA193" si="106">O183+P183+Q183+R183</f>
        <v>224.37736359749979</v>
      </c>
      <c r="AB183" s="29">
        <f t="shared" ref="AB183:AB193" si="107">S183+T183+U183+V183</f>
        <v>425.36200334374979</v>
      </c>
      <c r="AC183" s="22">
        <f>AC37</f>
        <v>563.17556023999987</v>
      </c>
      <c r="AD183" s="22">
        <f>AD37</f>
        <v>816.74054874124943</v>
      </c>
      <c r="AE183" s="22">
        <f>AE37</f>
        <v>1138.5645718853002</v>
      </c>
    </row>
    <row r="184" spans="2:31" x14ac:dyDescent="0.2">
      <c r="D184" s="19" t="s">
        <v>137</v>
      </c>
      <c r="G184" s="23">
        <v>6.117</v>
      </c>
      <c r="H184" s="23">
        <v>6.8970000000000002</v>
      </c>
      <c r="I184" s="23">
        <v>7.1219999999999999</v>
      </c>
      <c r="J184" s="23">
        <v>7.258</v>
      </c>
      <c r="K184" s="23">
        <v>7.4109999999999996</v>
      </c>
      <c r="L184" s="23">
        <v>7.5140000000000002</v>
      </c>
      <c r="M184" s="23">
        <v>7.8170000000000002</v>
      </c>
      <c r="N184" s="23">
        <v>7.665</v>
      </c>
      <c r="O184" s="34">
        <f t="shared" ref="O184:V184" si="108">-O22</f>
        <v>4.1560382499999999</v>
      </c>
      <c r="P184" s="34">
        <f t="shared" si="108"/>
        <v>4.3136729999999996</v>
      </c>
      <c r="Q184" s="34">
        <f t="shared" si="108"/>
        <v>4.6521474999999999</v>
      </c>
      <c r="R184" s="34">
        <f t="shared" si="108"/>
        <v>4.9379346249999996</v>
      </c>
      <c r="S184" s="34">
        <f t="shared" si="108"/>
        <v>4.9620918749999996</v>
      </c>
      <c r="T184" s="34">
        <f t="shared" si="108"/>
        <v>5.1371190000000002</v>
      </c>
      <c r="U184" s="34">
        <f t="shared" si="108"/>
        <v>5.5172162499999988</v>
      </c>
      <c r="V184" s="34">
        <f t="shared" si="108"/>
        <v>5.8571369999999998</v>
      </c>
      <c r="X184" s="23">
        <v>12.936999999999999</v>
      </c>
      <c r="Y184" s="23">
        <v>25.37</v>
      </c>
      <c r="Z184" s="23">
        <v>30</v>
      </c>
      <c r="AA184" s="34">
        <f t="shared" si="106"/>
        <v>18.059793374999998</v>
      </c>
      <c r="AB184" s="34">
        <f t="shared" si="107"/>
        <v>21.473564124999999</v>
      </c>
      <c r="AC184" s="34">
        <f>-AC22</f>
        <v>24.138503999999998</v>
      </c>
      <c r="AD184" s="34">
        <f>-AD22</f>
        <v>28.695337124999991</v>
      </c>
      <c r="AE184" s="34">
        <f>-AE22</f>
        <v>33.766238610000002</v>
      </c>
    </row>
    <row r="185" spans="2:31" x14ac:dyDescent="0.2">
      <c r="D185" s="19" t="s">
        <v>138</v>
      </c>
      <c r="G185" s="23">
        <v>1.3089999999999999</v>
      </c>
      <c r="H185" s="23">
        <v>1.329</v>
      </c>
      <c r="I185" s="23">
        <v>1.589</v>
      </c>
      <c r="J185" s="23">
        <v>1.534</v>
      </c>
      <c r="K185" s="23">
        <v>1.524</v>
      </c>
      <c r="L185" s="23">
        <v>1.931</v>
      </c>
      <c r="M185" s="23">
        <v>2.2229999999999999</v>
      </c>
      <c r="N185" s="23">
        <v>2.351</v>
      </c>
      <c r="O185" s="23">
        <v>0</v>
      </c>
      <c r="P185" s="23">
        <v>0</v>
      </c>
      <c r="Q185" s="23">
        <v>0</v>
      </c>
      <c r="R185" s="23">
        <v>0</v>
      </c>
      <c r="S185" s="23">
        <v>0</v>
      </c>
      <c r="T185" s="23">
        <v>0</v>
      </c>
      <c r="U185" s="23">
        <v>0</v>
      </c>
      <c r="V185" s="23">
        <v>0</v>
      </c>
      <c r="X185" s="23">
        <v>5.4480000000000004</v>
      </c>
      <c r="Y185" s="23">
        <v>5.5330000000000004</v>
      </c>
      <c r="Z185" s="23">
        <v>7.2119999999999997</v>
      </c>
      <c r="AA185" s="34">
        <f t="shared" si="106"/>
        <v>0</v>
      </c>
      <c r="AB185" s="34">
        <f t="shared" si="107"/>
        <v>0</v>
      </c>
      <c r="AC185" s="23">
        <v>0</v>
      </c>
      <c r="AD185" s="23">
        <v>0</v>
      </c>
      <c r="AE185" s="23">
        <v>0</v>
      </c>
    </row>
    <row r="186" spans="2:31" x14ac:dyDescent="0.2">
      <c r="D186" s="19" t="s">
        <v>139</v>
      </c>
      <c r="G186" s="23">
        <v>6.4189999999999996</v>
      </c>
      <c r="H186" s="23">
        <v>10.134</v>
      </c>
      <c r="I186" s="23">
        <v>8.1170000000000009</v>
      </c>
      <c r="J186" s="23">
        <v>8.6959999999999997</v>
      </c>
      <c r="K186" s="23">
        <v>910.14700000000005</v>
      </c>
      <c r="L186" s="23">
        <v>84.754999999999995</v>
      </c>
      <c r="M186" s="23">
        <v>67.3</v>
      </c>
      <c r="N186" s="23">
        <v>60.652000000000001</v>
      </c>
      <c r="O186" s="34">
        <f t="shared" ref="O186:V186" si="109">O177*O10</f>
        <v>54.348192500000003</v>
      </c>
      <c r="P186" s="34">
        <f t="shared" si="109"/>
        <v>53.091359999999995</v>
      </c>
      <c r="Q186" s="34">
        <f t="shared" si="109"/>
        <v>53.678625000000004</v>
      </c>
      <c r="R186" s="34">
        <f t="shared" si="109"/>
        <v>53.177757499999998</v>
      </c>
      <c r="S186" s="34">
        <f t="shared" si="109"/>
        <v>49.620918750000001</v>
      </c>
      <c r="T186" s="34">
        <f t="shared" si="109"/>
        <v>47.419559999999997</v>
      </c>
      <c r="U186" s="34">
        <f t="shared" si="109"/>
        <v>46.684137499999991</v>
      </c>
      <c r="V186" s="34">
        <f t="shared" si="109"/>
        <v>45.054900000000004</v>
      </c>
      <c r="X186" s="23">
        <v>26.035</v>
      </c>
      <c r="Y186" s="23">
        <v>29.844999999999999</v>
      </c>
      <c r="Z186" s="23">
        <v>1070.8979999999999</v>
      </c>
      <c r="AA186" s="34">
        <f t="shared" si="106"/>
        <v>214.29593499999999</v>
      </c>
      <c r="AB186" s="34">
        <f t="shared" si="107"/>
        <v>188.77951625</v>
      </c>
      <c r="AC186" s="34">
        <f>AC177*AC10</f>
        <v>193.10803199999998</v>
      </c>
      <c r="AD186" s="34">
        <f>AD177*AD10</f>
        <v>189.83069174999991</v>
      </c>
      <c r="AE186" s="34">
        <f>AE177*AE10</f>
        <v>181.81820790000003</v>
      </c>
    </row>
    <row r="187" spans="2:31" x14ac:dyDescent="0.2">
      <c r="D187" s="19" t="s">
        <v>140</v>
      </c>
      <c r="G187" s="23">
        <v>0</v>
      </c>
      <c r="H187" s="23">
        <v>0</v>
      </c>
      <c r="I187" s="23">
        <v>0</v>
      </c>
      <c r="J187" s="23">
        <v>0</v>
      </c>
      <c r="K187" s="23">
        <v>11.167999999999999</v>
      </c>
      <c r="L187" s="23">
        <v>0</v>
      </c>
      <c r="M187" s="23">
        <v>0</v>
      </c>
      <c r="N187" s="23">
        <v>0</v>
      </c>
      <c r="O187" s="23">
        <v>0</v>
      </c>
      <c r="P187" s="23">
        <v>0</v>
      </c>
      <c r="Q187" s="23">
        <v>0</v>
      </c>
      <c r="R187" s="23">
        <v>0</v>
      </c>
      <c r="S187" s="23">
        <v>0</v>
      </c>
      <c r="T187" s="23">
        <v>0</v>
      </c>
      <c r="U187" s="23">
        <v>0</v>
      </c>
      <c r="V187" s="23">
        <v>0</v>
      </c>
      <c r="X187" s="23">
        <v>0</v>
      </c>
      <c r="Y187" s="23">
        <v>0</v>
      </c>
      <c r="Z187" s="23">
        <v>11.167999999999999</v>
      </c>
      <c r="AA187" s="34">
        <f t="shared" si="106"/>
        <v>0</v>
      </c>
      <c r="AB187" s="34">
        <f t="shared" si="107"/>
        <v>0</v>
      </c>
      <c r="AC187" s="23">
        <v>0</v>
      </c>
      <c r="AD187" s="23">
        <v>0</v>
      </c>
      <c r="AE187" s="23">
        <v>0</v>
      </c>
    </row>
    <row r="188" spans="2:31" x14ac:dyDescent="0.2">
      <c r="D188" s="19" t="s">
        <v>141</v>
      </c>
      <c r="G188" s="23">
        <v>10.492000000000001</v>
      </c>
      <c r="H188" s="23">
        <v>11.331</v>
      </c>
      <c r="I188" s="23">
        <v>15.157999999999999</v>
      </c>
      <c r="J188" s="23">
        <v>17.971</v>
      </c>
      <c r="K188" s="23">
        <v>13.074</v>
      </c>
      <c r="L188" s="23">
        <v>17.003</v>
      </c>
      <c r="M188" s="23">
        <v>15.513</v>
      </c>
      <c r="N188" s="23">
        <v>22.327000000000002</v>
      </c>
      <c r="O188" s="23">
        <v>0</v>
      </c>
      <c r="P188" s="23">
        <v>0</v>
      </c>
      <c r="Q188" s="23">
        <v>0</v>
      </c>
      <c r="R188" s="23">
        <v>0</v>
      </c>
      <c r="S188" s="23">
        <v>0</v>
      </c>
      <c r="T188" s="23">
        <v>0</v>
      </c>
      <c r="U188" s="23">
        <v>0</v>
      </c>
      <c r="V188" s="23">
        <v>0</v>
      </c>
      <c r="X188" s="23">
        <v>67.379000000000005</v>
      </c>
      <c r="Y188" s="23">
        <v>50.613999999999997</v>
      </c>
      <c r="Z188" s="23">
        <v>63.561</v>
      </c>
      <c r="AA188" s="34">
        <f t="shared" si="106"/>
        <v>0</v>
      </c>
      <c r="AB188" s="34">
        <f t="shared" si="107"/>
        <v>0</v>
      </c>
      <c r="AC188" s="23">
        <v>0</v>
      </c>
      <c r="AD188" s="23">
        <v>0</v>
      </c>
      <c r="AE188" s="23">
        <v>0</v>
      </c>
    </row>
    <row r="189" spans="2:31" x14ac:dyDescent="0.2">
      <c r="D189" s="19" t="s">
        <v>142</v>
      </c>
      <c r="G189" s="23">
        <v>16.422999999999998</v>
      </c>
      <c r="H189" s="23">
        <v>9.875</v>
      </c>
      <c r="I189" s="23">
        <v>18.463999999999999</v>
      </c>
      <c r="J189" s="23">
        <v>28.751000000000001</v>
      </c>
      <c r="K189" s="23">
        <v>14.827999999999999</v>
      </c>
      <c r="L189" s="23">
        <v>-2.004</v>
      </c>
      <c r="M189" s="23">
        <v>0.17899999999999999</v>
      </c>
      <c r="N189" s="23">
        <v>-26.547000000000001</v>
      </c>
      <c r="O189" s="23">
        <v>0</v>
      </c>
      <c r="P189" s="23">
        <v>0</v>
      </c>
      <c r="Q189" s="23">
        <v>0</v>
      </c>
      <c r="R189" s="23">
        <v>0</v>
      </c>
      <c r="S189" s="23">
        <v>0</v>
      </c>
      <c r="T189" s="23">
        <v>0</v>
      </c>
      <c r="U189" s="23">
        <v>0</v>
      </c>
      <c r="V189" s="23">
        <v>0</v>
      </c>
      <c r="X189" s="23">
        <v>84.995999999999995</v>
      </c>
      <c r="Y189" s="23">
        <v>59.353999999999999</v>
      </c>
      <c r="Z189" s="23">
        <v>41.753999999999998</v>
      </c>
      <c r="AA189" s="34">
        <f t="shared" si="106"/>
        <v>0</v>
      </c>
      <c r="AB189" s="34">
        <f t="shared" si="107"/>
        <v>0</v>
      </c>
      <c r="AC189" s="23">
        <v>0</v>
      </c>
      <c r="AD189" s="23">
        <v>0</v>
      </c>
      <c r="AE189" s="23">
        <v>0</v>
      </c>
    </row>
    <row r="190" spans="2:31" x14ac:dyDescent="0.2">
      <c r="D190" s="19" t="s">
        <v>143</v>
      </c>
      <c r="G190" s="23">
        <v>1.607</v>
      </c>
      <c r="H190" s="23">
        <v>10.167999999999999</v>
      </c>
      <c r="I190" s="23">
        <v>21.495000000000001</v>
      </c>
      <c r="J190" s="23">
        <v>23.548999999999999</v>
      </c>
      <c r="K190" s="23">
        <v>20.547000000000001</v>
      </c>
      <c r="L190" s="23">
        <v>18.170000000000002</v>
      </c>
      <c r="M190" s="23">
        <v>15.398</v>
      </c>
      <c r="N190" s="23">
        <v>14.534000000000001</v>
      </c>
      <c r="O190" s="23">
        <v>0</v>
      </c>
      <c r="P190" s="23">
        <v>0</v>
      </c>
      <c r="Q190" s="23">
        <v>0</v>
      </c>
      <c r="R190" s="23">
        <v>0</v>
      </c>
      <c r="S190" s="23">
        <v>0</v>
      </c>
      <c r="T190" s="23">
        <v>0</v>
      </c>
      <c r="U190" s="23">
        <v>0</v>
      </c>
      <c r="V190" s="23">
        <v>0</v>
      </c>
      <c r="X190" s="23">
        <v>0</v>
      </c>
      <c r="Y190" s="23">
        <v>33.530999999999999</v>
      </c>
      <c r="Z190" s="23">
        <v>77.664000000000001</v>
      </c>
      <c r="AA190" s="34">
        <f t="shared" si="106"/>
        <v>0</v>
      </c>
      <c r="AB190" s="34">
        <f t="shared" si="107"/>
        <v>0</v>
      </c>
      <c r="AC190" s="23">
        <v>0</v>
      </c>
      <c r="AD190" s="23">
        <v>0</v>
      </c>
      <c r="AE190" s="23">
        <v>0</v>
      </c>
    </row>
    <row r="191" spans="2:31" x14ac:dyDescent="0.2">
      <c r="D191" s="19" t="s">
        <v>144</v>
      </c>
      <c r="G191" s="23">
        <v>0</v>
      </c>
      <c r="H191" s="23">
        <v>1.0980000000000001</v>
      </c>
      <c r="I191" s="23">
        <v>0.59199999999999997</v>
      </c>
      <c r="J191" s="23">
        <v>0</v>
      </c>
      <c r="K191" s="23">
        <v>0</v>
      </c>
      <c r="L191" s="23">
        <v>0</v>
      </c>
      <c r="M191" s="23">
        <v>0</v>
      </c>
      <c r="N191" s="23">
        <v>0</v>
      </c>
      <c r="O191" s="23">
        <v>0</v>
      </c>
      <c r="P191" s="23">
        <v>0</v>
      </c>
      <c r="Q191" s="23">
        <v>0</v>
      </c>
      <c r="R191" s="23">
        <v>0</v>
      </c>
      <c r="S191" s="23">
        <v>0</v>
      </c>
      <c r="T191" s="23">
        <v>0</v>
      </c>
      <c r="U191" s="23">
        <v>0</v>
      </c>
      <c r="V191" s="23">
        <v>0</v>
      </c>
      <c r="X191" s="23">
        <v>0</v>
      </c>
      <c r="Y191" s="23">
        <v>1.901</v>
      </c>
      <c r="Z191" s="23">
        <v>0</v>
      </c>
      <c r="AA191" s="34">
        <f t="shared" si="106"/>
        <v>0</v>
      </c>
      <c r="AB191" s="34">
        <f t="shared" si="107"/>
        <v>0</v>
      </c>
      <c r="AC191" s="23">
        <v>0</v>
      </c>
      <c r="AD191" s="23">
        <v>0</v>
      </c>
      <c r="AE191" s="23">
        <v>0</v>
      </c>
    </row>
    <row r="192" spans="2:31" x14ac:dyDescent="0.2">
      <c r="D192" s="19" t="s">
        <v>145</v>
      </c>
      <c r="G192" s="23">
        <v>-3.48</v>
      </c>
      <c r="H192" s="23">
        <v>-2.6219999999999999</v>
      </c>
      <c r="I192" s="23">
        <v>-2.0249999999999999</v>
      </c>
      <c r="J192" s="23">
        <v>-1.627</v>
      </c>
      <c r="K192" s="23">
        <v>-0.73799999999999999</v>
      </c>
      <c r="L192" s="23">
        <v>-1.645</v>
      </c>
      <c r="M192" s="23">
        <v>-1.1200000000000001</v>
      </c>
      <c r="N192" s="23">
        <v>-0.16200000000000001</v>
      </c>
      <c r="O192" s="23">
        <v>0</v>
      </c>
      <c r="P192" s="23">
        <v>0</v>
      </c>
      <c r="Q192" s="23">
        <v>0</v>
      </c>
      <c r="R192" s="23">
        <v>0</v>
      </c>
      <c r="S192" s="23">
        <v>0</v>
      </c>
      <c r="T192" s="23">
        <v>0</v>
      </c>
      <c r="U192" s="23">
        <v>0</v>
      </c>
      <c r="V192" s="23">
        <v>0</v>
      </c>
      <c r="X192" s="23">
        <v>-14.762</v>
      </c>
      <c r="Y192" s="23">
        <v>-12.531000000000001</v>
      </c>
      <c r="Z192" s="23">
        <v>-5.13</v>
      </c>
      <c r="AA192" s="34">
        <f t="shared" si="106"/>
        <v>0</v>
      </c>
      <c r="AB192" s="34">
        <f t="shared" si="107"/>
        <v>0</v>
      </c>
      <c r="AC192" s="23">
        <v>0</v>
      </c>
      <c r="AD192" s="23">
        <v>0</v>
      </c>
      <c r="AE192" s="23">
        <v>0</v>
      </c>
    </row>
    <row r="193" spans="1:31" x14ac:dyDescent="0.2">
      <c r="D193" s="19" t="s">
        <v>146</v>
      </c>
      <c r="G193" s="23">
        <v>0.216</v>
      </c>
      <c r="H193" s="23">
        <v>1.016</v>
      </c>
      <c r="I193" s="23">
        <v>-0.99199999999999999</v>
      </c>
      <c r="J193" s="23">
        <v>0.441</v>
      </c>
      <c r="K193" s="23">
        <v>-0.23300000000000001</v>
      </c>
      <c r="L193" s="23">
        <v>0.24</v>
      </c>
      <c r="M193" s="23">
        <v>-0.54200000000000004</v>
      </c>
      <c r="N193" s="23">
        <v>0.96499999999999997</v>
      </c>
      <c r="O193" s="23">
        <v>0</v>
      </c>
      <c r="P193" s="23">
        <v>0</v>
      </c>
      <c r="Q193" s="23">
        <v>0</v>
      </c>
      <c r="R193" s="23">
        <v>0</v>
      </c>
      <c r="S193" s="23">
        <v>0</v>
      </c>
      <c r="T193" s="23">
        <v>0</v>
      </c>
      <c r="U193" s="23">
        <v>0</v>
      </c>
      <c r="V193" s="23">
        <v>0</v>
      </c>
      <c r="X193" s="23">
        <v>1.302</v>
      </c>
      <c r="Y193" s="23">
        <v>9.7000000000000003E-2</v>
      </c>
      <c r="Z193" s="23">
        <v>-9.4E-2</v>
      </c>
      <c r="AA193" s="34">
        <f t="shared" si="106"/>
        <v>0</v>
      </c>
      <c r="AB193" s="34">
        <f t="shared" si="107"/>
        <v>0</v>
      </c>
      <c r="AC193" s="23">
        <v>0</v>
      </c>
      <c r="AD193" s="23">
        <v>0</v>
      </c>
      <c r="AE193" s="23">
        <v>0</v>
      </c>
    </row>
    <row r="196" spans="1:31" x14ac:dyDescent="0.2">
      <c r="D196" s="19" t="s">
        <v>147</v>
      </c>
      <c r="G196" s="10">
        <v>-47.926000000000002</v>
      </c>
      <c r="H196" s="10">
        <v>-9.2870000000000008</v>
      </c>
      <c r="I196" s="10">
        <v>-8.7520000000000007</v>
      </c>
      <c r="J196" s="10">
        <v>4.1509999999999998</v>
      </c>
      <c r="K196" s="10">
        <v>-35.411000000000001</v>
      </c>
      <c r="L196" s="10">
        <v>-15.972</v>
      </c>
      <c r="M196" s="10">
        <v>-22.248999999999999</v>
      </c>
      <c r="N196" s="10">
        <v>19.727</v>
      </c>
      <c r="O196" s="29">
        <f t="shared" ref="O196:V197" si="110">-(O100-N100)</f>
        <v>1.2964200000000119</v>
      </c>
      <c r="P196" s="29">
        <f t="shared" si="110"/>
        <v>-8.7305399999999906</v>
      </c>
      <c r="Q196" s="29">
        <f t="shared" si="110"/>
        <v>-18.746280000000013</v>
      </c>
      <c r="R196" s="29">
        <f t="shared" si="110"/>
        <v>-15.828209999999956</v>
      </c>
      <c r="S196" s="29">
        <f t="shared" si="110"/>
        <v>-1.3379400000000032</v>
      </c>
      <c r="T196" s="29">
        <f t="shared" si="110"/>
        <v>-9.6938100000000418</v>
      </c>
      <c r="U196" s="29">
        <f t="shared" si="110"/>
        <v>-21.051539999999932</v>
      </c>
      <c r="V196" s="29">
        <f t="shared" si="110"/>
        <v>-18.826380000000086</v>
      </c>
      <c r="X196" s="10">
        <v>-11.798</v>
      </c>
      <c r="Y196" s="10">
        <v>-43.018999999999998</v>
      </c>
      <c r="Z196" s="10">
        <v>-69.480999999999995</v>
      </c>
      <c r="AA196" s="29">
        <f t="shared" ref="AA196:AA202" si="111">O196+P196+Q196+R196</f>
        <v>-42.008609999999948</v>
      </c>
      <c r="AB196" s="29">
        <f t="shared" ref="AB196:AB202" si="112">S196+T196+U196+V196</f>
        <v>-50.909670000000062</v>
      </c>
      <c r="AC196" s="29">
        <f t="shared" ref="AC196:AE197" si="113">-(AC100-AB100)</f>
        <v>-1012.50648</v>
      </c>
      <c r="AD196" s="29">
        <f t="shared" si="113"/>
        <v>-252.37844999999948</v>
      </c>
      <c r="AE196" s="29">
        <f t="shared" si="113"/>
        <v>-280.84992840000064</v>
      </c>
    </row>
    <row r="197" spans="1:31" x14ac:dyDescent="0.2">
      <c r="D197" s="19" t="s">
        <v>148</v>
      </c>
      <c r="G197" s="23">
        <v>19.995999999999999</v>
      </c>
      <c r="H197" s="23">
        <v>-24.643000000000001</v>
      </c>
      <c r="I197" s="23">
        <v>-23.69</v>
      </c>
      <c r="J197" s="23">
        <v>-26.155000000000001</v>
      </c>
      <c r="K197" s="23">
        <v>11.813000000000001</v>
      </c>
      <c r="L197" s="23">
        <v>-8.2799999999999994</v>
      </c>
      <c r="M197" s="23">
        <v>-20.335000000000001</v>
      </c>
      <c r="N197" s="23">
        <v>-37.679000000000002</v>
      </c>
      <c r="O197" s="34">
        <f t="shared" si="110"/>
        <v>6.612275000000011</v>
      </c>
      <c r="P197" s="34">
        <f t="shared" si="110"/>
        <v>-4.2767549999999801</v>
      </c>
      <c r="Q197" s="34">
        <f t="shared" si="110"/>
        <v>-15.754970000000014</v>
      </c>
      <c r="R197" s="34">
        <f t="shared" si="110"/>
        <v>-18.905917499999987</v>
      </c>
      <c r="S197" s="34">
        <f t="shared" si="110"/>
        <v>6.0358925000000454</v>
      </c>
      <c r="T197" s="34">
        <f t="shared" si="110"/>
        <v>-3.4061850000000504</v>
      </c>
      <c r="U197" s="34">
        <f t="shared" si="110"/>
        <v>-15.487339999999961</v>
      </c>
      <c r="V197" s="34">
        <f t="shared" si="110"/>
        <v>-20.91820000000007</v>
      </c>
      <c r="X197" s="23">
        <v>-53.344000000000001</v>
      </c>
      <c r="Y197" s="23">
        <v>-40.307000000000002</v>
      </c>
      <c r="Z197" s="23">
        <v>-42.957000000000001</v>
      </c>
      <c r="AA197" s="34">
        <f t="shared" si="111"/>
        <v>-32.32536749999997</v>
      </c>
      <c r="AB197" s="34">
        <f t="shared" si="112"/>
        <v>-33.775832500000035</v>
      </c>
      <c r="AC197" s="34">
        <f t="shared" si="113"/>
        <v>-1087.87104</v>
      </c>
      <c r="AD197" s="34">
        <f t="shared" si="113"/>
        <v>-185.11664249999944</v>
      </c>
      <c r="AE197" s="34">
        <f t="shared" si="113"/>
        <v>-236.70325590000061</v>
      </c>
    </row>
    <row r="198" spans="1:31" x14ac:dyDescent="0.2">
      <c r="D198" s="19" t="s">
        <v>149</v>
      </c>
      <c r="G198" s="23">
        <v>3.1190000000000002</v>
      </c>
      <c r="H198" s="23">
        <v>-11.331</v>
      </c>
      <c r="I198" s="23">
        <v>-11.614000000000001</v>
      </c>
      <c r="J198" s="23">
        <v>-8.68</v>
      </c>
      <c r="K198" s="23">
        <v>7.2480000000000002</v>
      </c>
      <c r="L198" s="23">
        <v>-6.3490000000000002</v>
      </c>
      <c r="M198" s="23">
        <v>-15.843</v>
      </c>
      <c r="N198" s="23">
        <v>19.972000000000001</v>
      </c>
      <c r="O198" s="34">
        <f t="shared" ref="O198:V198" si="114">-(O103-N103)</f>
        <v>0.52128249999999809</v>
      </c>
      <c r="P198" s="34">
        <f t="shared" si="114"/>
        <v>4.4257500000000505E-2</v>
      </c>
      <c r="Q198" s="34">
        <f t="shared" si="114"/>
        <v>-6.7694900000000047</v>
      </c>
      <c r="R198" s="34">
        <f t="shared" si="114"/>
        <v>-4.1963779999999957</v>
      </c>
      <c r="S198" s="34">
        <f t="shared" si="114"/>
        <v>1.8144842500000067</v>
      </c>
      <c r="T198" s="34">
        <f t="shared" si="114"/>
        <v>-0.99492825000000096</v>
      </c>
      <c r="U198" s="34">
        <f t="shared" si="114"/>
        <v>-5.4365279999999956</v>
      </c>
      <c r="V198" s="34">
        <f t="shared" si="114"/>
        <v>-4.4732640000000146</v>
      </c>
      <c r="X198" s="23">
        <v>12.198</v>
      </c>
      <c r="Y198" s="23">
        <v>-24.114999999999998</v>
      </c>
      <c r="Z198" s="23">
        <v>-23.623999999999999</v>
      </c>
      <c r="AA198" s="34">
        <f t="shared" si="111"/>
        <v>-10.400328000000002</v>
      </c>
      <c r="AB198" s="34">
        <f t="shared" si="112"/>
        <v>-9.0902360000000044</v>
      </c>
      <c r="AC198" s="34">
        <f>-(AC103-AB103)</f>
        <v>-331.87712399999998</v>
      </c>
      <c r="AD198" s="34">
        <f>-(AD103-AC103)</f>
        <v>-69.480045749999874</v>
      </c>
      <c r="AE198" s="34">
        <f>-(AE103-AD103)</f>
        <v>-74.131531530000132</v>
      </c>
    </row>
    <row r="199" spans="1:31" x14ac:dyDescent="0.2">
      <c r="D199" s="19" t="s">
        <v>150</v>
      </c>
      <c r="G199" s="23">
        <v>1.8140000000000001</v>
      </c>
      <c r="H199" s="23">
        <v>11.124000000000001</v>
      </c>
      <c r="I199" s="23">
        <v>1.7430000000000001</v>
      </c>
      <c r="J199" s="23">
        <v>1.768</v>
      </c>
      <c r="K199" s="23">
        <v>14.186</v>
      </c>
      <c r="L199" s="23">
        <v>-11.773999999999999</v>
      </c>
      <c r="M199" s="23">
        <v>-1.3460000000000001</v>
      </c>
      <c r="N199" s="23">
        <v>-0.76</v>
      </c>
      <c r="O199" s="34">
        <f t="shared" ref="O199:V200" si="115">O115-N115</f>
        <v>-3.257681909249996</v>
      </c>
      <c r="P199" s="34">
        <f t="shared" si="115"/>
        <v>6.0426812249993134E-2</v>
      </c>
      <c r="Q199" s="34">
        <f t="shared" si="115"/>
        <v>1.7325564795000048</v>
      </c>
      <c r="R199" s="34">
        <f t="shared" si="115"/>
        <v>1.3780141908749926</v>
      </c>
      <c r="S199" s="34">
        <f t="shared" si="115"/>
        <v>-7.2892102499935163E-3</v>
      </c>
      <c r="T199" s="34">
        <f t="shared" si="115"/>
        <v>0.18904939987500313</v>
      </c>
      <c r="U199" s="34">
        <f t="shared" si="115"/>
        <v>1.7432577382499943</v>
      </c>
      <c r="V199" s="34">
        <f t="shared" si="115"/>
        <v>1.3709330617500015</v>
      </c>
      <c r="X199" s="23">
        <v>1.353</v>
      </c>
      <c r="Y199" s="23">
        <v>13.702999999999999</v>
      </c>
      <c r="Z199" s="23">
        <v>2.8340000000000001</v>
      </c>
      <c r="AA199" s="34">
        <f t="shared" si="111"/>
        <v>-8.6684426625005528E-2</v>
      </c>
      <c r="AB199" s="34">
        <f t="shared" si="112"/>
        <v>3.2959509896250054</v>
      </c>
      <c r="AC199" s="34">
        <f t="shared" ref="AC199:AE200" si="116">AC115-AB115</f>
        <v>127.671291909</v>
      </c>
      <c r="AD199" s="34">
        <f t="shared" si="116"/>
        <v>20.462848536374963</v>
      </c>
      <c r="AE199" s="34">
        <f t="shared" si="116"/>
        <v>20.027532105315061</v>
      </c>
    </row>
    <row r="200" spans="1:31" x14ac:dyDescent="0.2">
      <c r="D200" s="19" t="s">
        <v>151</v>
      </c>
      <c r="G200" s="23">
        <v>-1.2569999999999999</v>
      </c>
      <c r="H200" s="23">
        <v>-10.757999999999999</v>
      </c>
      <c r="I200" s="23">
        <v>13.8</v>
      </c>
      <c r="J200" s="23">
        <v>-73.953999999999994</v>
      </c>
      <c r="K200" s="23">
        <v>-19.337</v>
      </c>
      <c r="L200" s="23">
        <v>-4.673</v>
      </c>
      <c r="M200" s="23">
        <v>20.532</v>
      </c>
      <c r="N200" s="23">
        <v>-47.399000000000001</v>
      </c>
      <c r="O200" s="34">
        <f t="shared" si="115"/>
        <v>-14.477387172499988</v>
      </c>
      <c r="P200" s="34">
        <f t="shared" si="115"/>
        <v>0.29733828249996463</v>
      </c>
      <c r="Q200" s="34">
        <f t="shared" si="115"/>
        <v>5.6320000275000268</v>
      </c>
      <c r="R200" s="34">
        <f t="shared" si="115"/>
        <v>6.671338543124989</v>
      </c>
      <c r="S200" s="34">
        <f t="shared" si="115"/>
        <v>-3.0373546181249935</v>
      </c>
      <c r="T200" s="34">
        <f t="shared" si="115"/>
        <v>0.9002352375000271</v>
      </c>
      <c r="U200" s="34">
        <f t="shared" si="115"/>
        <v>5.145804031249952</v>
      </c>
      <c r="V200" s="34">
        <f t="shared" si="115"/>
        <v>3.1552209587499931</v>
      </c>
      <c r="X200" s="23">
        <v>-11.301</v>
      </c>
      <c r="Y200" s="23">
        <v>33.552</v>
      </c>
      <c r="Z200" s="23">
        <v>-77.432000000000002</v>
      </c>
      <c r="AA200" s="34">
        <f t="shared" si="111"/>
        <v>-1.8767103193750074</v>
      </c>
      <c r="AB200" s="34">
        <f t="shared" si="112"/>
        <v>6.1639056093749787</v>
      </c>
      <c r="AC200" s="34">
        <f t="shared" si="116"/>
        <v>601.09011818999988</v>
      </c>
      <c r="AD200" s="34">
        <f t="shared" si="116"/>
        <v>80.797194971249837</v>
      </c>
      <c r="AE200" s="34">
        <f t="shared" si="116"/>
        <v>75.579835158300284</v>
      </c>
    </row>
    <row r="201" spans="1:31" x14ac:dyDescent="0.2">
      <c r="D201" s="19" t="s">
        <v>152</v>
      </c>
      <c r="G201" s="23">
        <v>-3.3359999999999999</v>
      </c>
      <c r="H201" s="23">
        <v>-1.7709999999999999</v>
      </c>
      <c r="I201" s="23">
        <v>-3.39</v>
      </c>
      <c r="J201" s="23">
        <v>-3.9369999999999998</v>
      </c>
      <c r="K201" s="23">
        <v>-3.8359999999999999</v>
      </c>
      <c r="L201" s="23">
        <v>-4.0369999999999999</v>
      </c>
      <c r="M201" s="23">
        <v>-3.0979999999999999</v>
      </c>
      <c r="N201" s="23">
        <v>-1.929</v>
      </c>
      <c r="O201" s="23">
        <v>0</v>
      </c>
      <c r="P201" s="23">
        <v>0</v>
      </c>
      <c r="Q201" s="23">
        <v>0</v>
      </c>
      <c r="R201" s="23">
        <v>0</v>
      </c>
      <c r="S201" s="23">
        <v>0</v>
      </c>
      <c r="T201" s="23">
        <v>0</v>
      </c>
      <c r="U201" s="23">
        <v>0</v>
      </c>
      <c r="V201" s="23">
        <v>0</v>
      </c>
      <c r="X201" s="23">
        <v>2.4390000000000001</v>
      </c>
      <c r="Y201" s="23">
        <v>-10.467000000000001</v>
      </c>
      <c r="Z201" s="23">
        <v>-14.907999999999999</v>
      </c>
      <c r="AA201" s="34">
        <f t="shared" si="111"/>
        <v>0</v>
      </c>
      <c r="AB201" s="34">
        <f t="shared" si="112"/>
        <v>0</v>
      </c>
      <c r="AC201" s="23">
        <v>0</v>
      </c>
      <c r="AD201" s="23">
        <v>0</v>
      </c>
      <c r="AE201" s="23">
        <v>0</v>
      </c>
    </row>
    <row r="202" spans="1:31" x14ac:dyDescent="0.2">
      <c r="D202" s="19" t="s">
        <v>153</v>
      </c>
      <c r="G202" s="23">
        <v>-13.22</v>
      </c>
      <c r="H202" s="23">
        <v>-5.4619999999999997</v>
      </c>
      <c r="I202" s="23">
        <v>0.22</v>
      </c>
      <c r="J202" s="23">
        <v>-18.456</v>
      </c>
      <c r="K202" s="23">
        <v>-0.52100000000000002</v>
      </c>
      <c r="L202" s="23">
        <v>-2.673</v>
      </c>
      <c r="M202" s="23">
        <v>12.901</v>
      </c>
      <c r="N202" s="23">
        <v>0.30599999999999999</v>
      </c>
      <c r="O202" s="34">
        <f t="shared" ref="O202:V202" si="117">O117-N117</f>
        <v>0.34319499999999437</v>
      </c>
      <c r="P202" s="34">
        <f t="shared" si="117"/>
        <v>4.6077849999999927</v>
      </c>
      <c r="Q202" s="34">
        <f t="shared" si="117"/>
        <v>9.8938700000000068</v>
      </c>
      <c r="R202" s="34">
        <f t="shared" si="117"/>
        <v>8.3537775000000067</v>
      </c>
      <c r="S202" s="34">
        <f t="shared" si="117"/>
        <v>0.70613499999998908</v>
      </c>
      <c r="T202" s="34">
        <f t="shared" si="117"/>
        <v>5.1161775000000205</v>
      </c>
      <c r="U202" s="34">
        <f t="shared" si="117"/>
        <v>11.11053499999997</v>
      </c>
      <c r="V202" s="34">
        <f t="shared" si="117"/>
        <v>9.9361450000000389</v>
      </c>
      <c r="X202" s="23">
        <v>-76.274000000000001</v>
      </c>
      <c r="Y202" s="23">
        <v>-33.576999999999998</v>
      </c>
      <c r="Z202" s="23">
        <v>-8.7490000000000006</v>
      </c>
      <c r="AA202" s="34">
        <f t="shared" si="111"/>
        <v>23.198627500000001</v>
      </c>
      <c r="AB202" s="34">
        <f t="shared" si="112"/>
        <v>26.868992500000019</v>
      </c>
      <c r="AC202" s="34">
        <f>AC117-AB117</f>
        <v>497.24225999999999</v>
      </c>
      <c r="AD202" s="34">
        <f>AD117-AC117</f>
        <v>104.11588874999973</v>
      </c>
      <c r="AE202" s="34">
        <f>AE117-AD117</f>
        <v>110.55024105000041</v>
      </c>
    </row>
    <row r="204" spans="1:31" x14ac:dyDescent="0.2">
      <c r="A204" s="1" t="s">
        <v>29</v>
      </c>
      <c r="B204" s="2" t="s">
        <v>154</v>
      </c>
      <c r="G204" s="20">
        <f t="shared" ref="G204:V204" si="118">SUM(G183:G202)</f>
        <v>-1.3219999999999761</v>
      </c>
      <c r="H204" s="20">
        <f t="shared" si="118"/>
        <v>-24.928000000000001</v>
      </c>
      <c r="I204" s="20">
        <f t="shared" si="118"/>
        <v>18.23099999999998</v>
      </c>
      <c r="J204" s="20">
        <f t="shared" si="118"/>
        <v>-25.750999999999991</v>
      </c>
      <c r="K204" s="20">
        <f t="shared" si="118"/>
        <v>28.494000000000128</v>
      </c>
      <c r="L204" s="20">
        <f t="shared" si="118"/>
        <v>17.484000000000016</v>
      </c>
      <c r="M204" s="20">
        <f t="shared" si="118"/>
        <v>32.552999999999962</v>
      </c>
      <c r="N204" s="20">
        <f t="shared" si="118"/>
        <v>87.479000000000028</v>
      </c>
      <c r="O204" s="20">
        <f t="shared" si="118"/>
        <v>78.100318903249971</v>
      </c>
      <c r="P204" s="20">
        <f t="shared" si="118"/>
        <v>98.622209144749931</v>
      </c>
      <c r="Q204" s="20">
        <f t="shared" si="118"/>
        <v>100.47505870699999</v>
      </c>
      <c r="R204" s="20">
        <f t="shared" si="118"/>
        <v>116.03643247149998</v>
      </c>
      <c r="S204" s="20">
        <f t="shared" si="118"/>
        <v>139.80916614037497</v>
      </c>
      <c r="T204" s="20">
        <f t="shared" si="118"/>
        <v>140.85227242737488</v>
      </c>
      <c r="U204" s="20">
        <f t="shared" si="118"/>
        <v>141.93753151949994</v>
      </c>
      <c r="V204" s="20">
        <f t="shared" si="118"/>
        <v>155.56922423049986</v>
      </c>
      <c r="X204" s="20">
        <f>SUM(X183:X202)</f>
        <v>-156.59400000000008</v>
      </c>
      <c r="Y204" s="20">
        <f>SUM(Y183:Y202)</f>
        <v>64.140000000000171</v>
      </c>
      <c r="Z204" s="20">
        <f>SUM(Z183:Z202)</f>
        <v>52.780000000000108</v>
      </c>
      <c r="AA204" s="20">
        <f>O204+P204+Q204+R204</f>
        <v>393.23401922649987</v>
      </c>
      <c r="AB204" s="20">
        <f>S204+T204+U204+V204</f>
        <v>578.16819431774968</v>
      </c>
      <c r="AC204" s="20">
        <f>SUM(AC183:AC202)</f>
        <v>-425.82887766100021</v>
      </c>
      <c r="AD204" s="20">
        <f>SUM(AD183:AD202)</f>
        <v>733.66737162387517</v>
      </c>
      <c r="AE204" s="20">
        <f>SUM(AE183:AE202)</f>
        <v>968.62191087891472</v>
      </c>
    </row>
    <row r="205" spans="1:31" x14ac:dyDescent="0.2">
      <c r="D205" s="9" t="s">
        <v>33</v>
      </c>
      <c r="G205" s="21">
        <f>G204-_reported!G30</f>
        <v>2.3980817331903381E-14</v>
      </c>
      <c r="H205" s="21">
        <f>H204-_reported!H30</f>
        <v>0</v>
      </c>
      <c r="I205" s="21">
        <f>I204-_reported!I30</f>
        <v>0</v>
      </c>
      <c r="J205" s="21">
        <f>J204-_reported!J30</f>
        <v>0</v>
      </c>
      <c r="K205" s="21">
        <f>K204-_reported!K30</f>
        <v>1.2789769243681803E-13</v>
      </c>
      <c r="L205" s="21">
        <f>L204-_reported!L30</f>
        <v>0</v>
      </c>
      <c r="M205" s="21">
        <f>M204-_reported!M30</f>
        <v>0</v>
      </c>
      <c r="N205" s="21">
        <f>N204-_reported!N30</f>
        <v>0</v>
      </c>
      <c r="X205" s="21">
        <f>X204-_reported!X30</f>
        <v>0</v>
      </c>
      <c r="Y205" s="21">
        <f>Y204-_reported!Y30</f>
        <v>1.7053025658242404E-13</v>
      </c>
      <c r="Z205" s="21">
        <f>Z204-_reported!Z30</f>
        <v>1.0658141036401503E-13</v>
      </c>
    </row>
    <row r="208" spans="1:31" x14ac:dyDescent="0.2">
      <c r="D208" s="19" t="s">
        <v>155</v>
      </c>
      <c r="G208" s="10">
        <v>-139.66399999999999</v>
      </c>
      <c r="H208" s="10">
        <v>-71.744</v>
      </c>
      <c r="I208" s="10">
        <v>-136.38200000000001</v>
      </c>
      <c r="J208" s="10">
        <v>-38.502000000000002</v>
      </c>
      <c r="K208" s="10">
        <v>-195.548</v>
      </c>
      <c r="L208" s="10">
        <v>-431.233</v>
      </c>
      <c r="M208" s="10">
        <v>-69.677000000000007</v>
      </c>
      <c r="N208" s="10">
        <v>0</v>
      </c>
      <c r="O208" s="10">
        <v>0</v>
      </c>
      <c r="P208" s="10">
        <v>0</v>
      </c>
      <c r="Q208" s="10">
        <v>0</v>
      </c>
      <c r="R208" s="10">
        <v>0</v>
      </c>
      <c r="S208" s="10">
        <v>0</v>
      </c>
      <c r="T208" s="10">
        <v>0</v>
      </c>
      <c r="U208" s="10">
        <v>0</v>
      </c>
      <c r="V208" s="10">
        <v>0</v>
      </c>
      <c r="X208" s="10">
        <v>-610.66899999999998</v>
      </c>
      <c r="Y208" s="10">
        <v>-497.57799999999997</v>
      </c>
      <c r="Z208" s="10">
        <v>-734.96</v>
      </c>
      <c r="AA208" s="29">
        <f t="shared" ref="AA208:AA215" si="119">O208+P208+Q208+R208</f>
        <v>0</v>
      </c>
      <c r="AB208" s="29">
        <f t="shared" ref="AB208:AB215" si="120">S208+T208+U208+V208</f>
        <v>0</v>
      </c>
      <c r="AC208" s="10">
        <v>0</v>
      </c>
      <c r="AD208" s="10">
        <v>0</v>
      </c>
      <c r="AE208" s="10">
        <v>0</v>
      </c>
    </row>
    <row r="209" spans="1:31" x14ac:dyDescent="0.2">
      <c r="D209" s="19" t="s">
        <v>156</v>
      </c>
      <c r="G209" s="23">
        <v>0</v>
      </c>
      <c r="H209" s="23">
        <v>10.398999999999999</v>
      </c>
      <c r="I209" s="23">
        <v>165.81700000000001</v>
      </c>
      <c r="J209" s="23">
        <v>0</v>
      </c>
      <c r="K209" s="23">
        <v>256.51400000000001</v>
      </c>
      <c r="L209" s="23">
        <v>0</v>
      </c>
      <c r="M209" s="23">
        <v>0</v>
      </c>
      <c r="N209" s="23">
        <v>0</v>
      </c>
      <c r="O209" s="23">
        <v>0</v>
      </c>
      <c r="P209" s="23">
        <v>0</v>
      </c>
      <c r="Q209" s="23">
        <v>0</v>
      </c>
      <c r="R209" s="23">
        <v>0</v>
      </c>
      <c r="S209" s="23">
        <v>0</v>
      </c>
      <c r="T209" s="23">
        <v>0</v>
      </c>
      <c r="U209" s="23">
        <v>0</v>
      </c>
      <c r="V209" s="23">
        <v>0</v>
      </c>
      <c r="X209" s="23">
        <v>0</v>
      </c>
      <c r="Y209" s="23">
        <v>193.20099999999999</v>
      </c>
      <c r="Z209" s="23">
        <v>256.51400000000001</v>
      </c>
      <c r="AA209" s="34">
        <f t="shared" si="119"/>
        <v>0</v>
      </c>
      <c r="AB209" s="34">
        <f t="shared" si="120"/>
        <v>0</v>
      </c>
      <c r="AC209" s="23">
        <v>0</v>
      </c>
      <c r="AD209" s="23">
        <v>0</v>
      </c>
      <c r="AE209" s="23">
        <v>0</v>
      </c>
    </row>
    <row r="210" spans="1:31" x14ac:dyDescent="0.2">
      <c r="D210" s="19" t="s">
        <v>157</v>
      </c>
      <c r="G210" s="23">
        <v>177.535</v>
      </c>
      <c r="H210" s="23">
        <v>129.34299999999999</v>
      </c>
      <c r="I210" s="23">
        <v>72.069999999999993</v>
      </c>
      <c r="J210" s="23">
        <v>72.200999999999993</v>
      </c>
      <c r="K210" s="23">
        <v>50.999000000000002</v>
      </c>
      <c r="L210" s="23">
        <v>24</v>
      </c>
      <c r="M210" s="23">
        <v>117.5</v>
      </c>
      <c r="N210" s="23">
        <v>182.3</v>
      </c>
      <c r="O210" s="23">
        <v>0</v>
      </c>
      <c r="P210" s="23">
        <v>0</v>
      </c>
      <c r="Q210" s="23">
        <v>0</v>
      </c>
      <c r="R210" s="23">
        <v>0</v>
      </c>
      <c r="S210" s="23">
        <v>0</v>
      </c>
      <c r="T210" s="23">
        <v>0</v>
      </c>
      <c r="U210" s="23">
        <v>0</v>
      </c>
      <c r="V210" s="23">
        <v>0</v>
      </c>
      <c r="X210" s="23">
        <v>805.49599999999998</v>
      </c>
      <c r="Y210" s="23">
        <v>508.28800000000001</v>
      </c>
      <c r="Z210" s="23">
        <v>264.7</v>
      </c>
      <c r="AA210" s="34">
        <f t="shared" si="119"/>
        <v>0</v>
      </c>
      <c r="AB210" s="34">
        <f t="shared" si="120"/>
        <v>0</v>
      </c>
      <c r="AC210" s="23">
        <v>0</v>
      </c>
      <c r="AD210" s="23">
        <v>0</v>
      </c>
      <c r="AE210" s="23">
        <v>0</v>
      </c>
    </row>
    <row r="211" spans="1:31" x14ac:dyDescent="0.2">
      <c r="D211" s="19" t="s">
        <v>158</v>
      </c>
      <c r="G211" s="23">
        <v>-54.731999999999999</v>
      </c>
      <c r="H211" s="23">
        <v>-680.48199999999997</v>
      </c>
      <c r="I211" s="23">
        <v>-1124.729</v>
      </c>
      <c r="J211" s="23">
        <v>-1139.723</v>
      </c>
      <c r="K211" s="23">
        <v>-1228.4290000000001</v>
      </c>
      <c r="L211" s="23">
        <v>-1248.7539999999999</v>
      </c>
      <c r="M211" s="23">
        <v>-1323.193</v>
      </c>
      <c r="N211" s="23">
        <v>-1296.434</v>
      </c>
      <c r="O211" s="34">
        <f t="shared" ref="O211:V211" si="121">-(O102-N102)</f>
        <v>0.31556750000000022</v>
      </c>
      <c r="P211" s="34">
        <f t="shared" si="121"/>
        <v>-7.3197075000000069</v>
      </c>
      <c r="Q211" s="34">
        <f t="shared" si="121"/>
        <v>-12.430984999999993</v>
      </c>
      <c r="R211" s="34">
        <f t="shared" si="121"/>
        <v>-11.492679999999979</v>
      </c>
      <c r="S211" s="34">
        <f t="shared" si="121"/>
        <v>-0.66897000000000162</v>
      </c>
      <c r="T211" s="34">
        <f t="shared" si="121"/>
        <v>-4.8469050000000209</v>
      </c>
      <c r="U211" s="34">
        <f t="shared" si="121"/>
        <v>-10.525769999999966</v>
      </c>
      <c r="V211" s="34">
        <f t="shared" si="121"/>
        <v>-9.4131900000000428</v>
      </c>
      <c r="X211" s="23">
        <v>0</v>
      </c>
      <c r="Y211" s="23">
        <v>-1859.943</v>
      </c>
      <c r="Z211" s="23">
        <v>-4940.0990000000002</v>
      </c>
      <c r="AA211" s="34">
        <f t="shared" si="119"/>
        <v>-30.927804999999978</v>
      </c>
      <c r="AB211" s="34">
        <f t="shared" si="120"/>
        <v>-25.454835000000031</v>
      </c>
      <c r="AC211" s="34">
        <f>-(AC102-AB102)</f>
        <v>-506.25324000000001</v>
      </c>
      <c r="AD211" s="34">
        <f>-(AD102-AC102)</f>
        <v>-104.11588874999973</v>
      </c>
      <c r="AE211" s="34">
        <f>-(AE102-AD102)</f>
        <v>-136.52427075000026</v>
      </c>
    </row>
    <row r="212" spans="1:31" x14ac:dyDescent="0.2">
      <c r="D212" s="19" t="s">
        <v>159</v>
      </c>
      <c r="G212" s="23">
        <v>30.617999999999999</v>
      </c>
      <c r="H212" s="23">
        <v>619.05100000000004</v>
      </c>
      <c r="I212" s="23">
        <v>1079.827</v>
      </c>
      <c r="J212" s="23">
        <v>1117.5160000000001</v>
      </c>
      <c r="K212" s="23">
        <v>1194.1179999999999</v>
      </c>
      <c r="L212" s="23">
        <v>1236.0920000000001</v>
      </c>
      <c r="M212" s="23">
        <v>1345.1510000000001</v>
      </c>
      <c r="N212" s="23">
        <v>1248.8910000000001</v>
      </c>
      <c r="O212" s="23">
        <v>0</v>
      </c>
      <c r="P212" s="23">
        <v>0</v>
      </c>
      <c r="Q212" s="23">
        <v>0</v>
      </c>
      <c r="R212" s="23">
        <v>0</v>
      </c>
      <c r="S212" s="23">
        <v>0</v>
      </c>
      <c r="T212" s="23">
        <v>0</v>
      </c>
      <c r="U212" s="23">
        <v>0</v>
      </c>
      <c r="V212" s="23">
        <v>0</v>
      </c>
      <c r="X212" s="23">
        <v>0</v>
      </c>
      <c r="Y212" s="23">
        <v>1729.4960000000001</v>
      </c>
      <c r="Z212" s="23">
        <v>4892.8770000000004</v>
      </c>
      <c r="AA212" s="34">
        <f t="shared" si="119"/>
        <v>0</v>
      </c>
      <c r="AB212" s="34">
        <f t="shared" si="120"/>
        <v>0</v>
      </c>
      <c r="AC212" s="23">
        <v>0</v>
      </c>
      <c r="AD212" s="23">
        <v>0</v>
      </c>
      <c r="AE212" s="23">
        <v>0</v>
      </c>
    </row>
    <row r="213" spans="1:31" x14ac:dyDescent="0.2">
      <c r="D213" s="19" t="s">
        <v>160</v>
      </c>
      <c r="G213" s="23">
        <v>-0.106</v>
      </c>
      <c r="H213" s="23">
        <v>-3.1</v>
      </c>
      <c r="I213" s="23">
        <v>-1.5780000000000001</v>
      </c>
      <c r="J213" s="23">
        <v>-1.593</v>
      </c>
      <c r="K213" s="23">
        <v>-2.0379999999999998</v>
      </c>
      <c r="L213" s="23">
        <v>-2.0569999999999999</v>
      </c>
      <c r="M213" s="23">
        <v>-14.199</v>
      </c>
      <c r="N213" s="23">
        <v>-6.6210000000000004</v>
      </c>
      <c r="O213" s="34">
        <f t="shared" ref="O213:V213" si="122">-0.5*O178*O10</f>
        <v>-3.8363429999999998</v>
      </c>
      <c r="P213" s="34">
        <f t="shared" si="122"/>
        <v>-3.9818519999999995</v>
      </c>
      <c r="Q213" s="34">
        <f t="shared" si="122"/>
        <v>-4.2942900000000002</v>
      </c>
      <c r="R213" s="34">
        <f t="shared" si="122"/>
        <v>-4.5580935</v>
      </c>
      <c r="S213" s="34">
        <f t="shared" si="122"/>
        <v>-4.5803924999999994</v>
      </c>
      <c r="T213" s="34">
        <f t="shared" si="122"/>
        <v>-4.7419560000000001</v>
      </c>
      <c r="U213" s="34">
        <f t="shared" si="122"/>
        <v>-5.0928149999999999</v>
      </c>
      <c r="V213" s="34">
        <f t="shared" si="122"/>
        <v>-5.4065880000000002</v>
      </c>
      <c r="X213" s="23">
        <v>-10.500999999999999</v>
      </c>
      <c r="Y213" s="23">
        <v>-4.8120000000000003</v>
      </c>
      <c r="Z213" s="23">
        <v>-19.887</v>
      </c>
      <c r="AA213" s="34">
        <f t="shared" si="119"/>
        <v>-16.670578499999998</v>
      </c>
      <c r="AB213" s="34">
        <f t="shared" si="120"/>
        <v>-19.821751500000001</v>
      </c>
      <c r="AC213" s="34">
        <f>-0.5*AC178*AC10</f>
        <v>-25.995312000000002</v>
      </c>
      <c r="AD213" s="34">
        <f>-0.5*AD178*AD10</f>
        <v>-30.902670749999992</v>
      </c>
      <c r="AE213" s="34">
        <f>-0.5*AE178*AE10</f>
        <v>-38.961044549999997</v>
      </c>
    </row>
    <row r="214" spans="1:31" x14ac:dyDescent="0.2">
      <c r="D214" s="19" t="s">
        <v>161</v>
      </c>
      <c r="G214" s="23">
        <v>-2.1339999999999999</v>
      </c>
      <c r="H214" s="23">
        <v>-3.0790000000000002</v>
      </c>
      <c r="I214" s="23">
        <v>-2.2799999999999998</v>
      </c>
      <c r="J214" s="23">
        <v>-3.198</v>
      </c>
      <c r="K214" s="23">
        <v>-3.1909999999999998</v>
      </c>
      <c r="L214" s="23">
        <v>-1.657</v>
      </c>
      <c r="M214" s="23">
        <v>-0.78700000000000003</v>
      </c>
      <c r="N214" s="23">
        <v>-0.83099999999999996</v>
      </c>
      <c r="O214" s="34">
        <f t="shared" ref="O214:V214" si="123">-0.5*O178*O10</f>
        <v>-3.8363429999999998</v>
      </c>
      <c r="P214" s="34">
        <f t="shared" si="123"/>
        <v>-3.9818519999999995</v>
      </c>
      <c r="Q214" s="34">
        <f t="shared" si="123"/>
        <v>-4.2942900000000002</v>
      </c>
      <c r="R214" s="34">
        <f t="shared" si="123"/>
        <v>-4.5580935</v>
      </c>
      <c r="S214" s="34">
        <f t="shared" si="123"/>
        <v>-4.5803924999999994</v>
      </c>
      <c r="T214" s="34">
        <f t="shared" si="123"/>
        <v>-4.7419560000000001</v>
      </c>
      <c r="U214" s="34">
        <f t="shared" si="123"/>
        <v>-5.0928149999999999</v>
      </c>
      <c r="V214" s="34">
        <f t="shared" si="123"/>
        <v>-5.4065880000000002</v>
      </c>
      <c r="X214" s="23">
        <v>-17.314</v>
      </c>
      <c r="Y214" s="23">
        <v>-9.657</v>
      </c>
      <c r="Z214" s="23">
        <v>-8.8330000000000002</v>
      </c>
      <c r="AA214" s="34">
        <f t="shared" si="119"/>
        <v>-16.670578499999998</v>
      </c>
      <c r="AB214" s="34">
        <f t="shared" si="120"/>
        <v>-19.821751500000001</v>
      </c>
      <c r="AC214" s="34">
        <f>-0.5*AC178*AC10</f>
        <v>-25.995312000000002</v>
      </c>
      <c r="AD214" s="34">
        <f>-0.5*AD178*AD10</f>
        <v>-30.902670749999992</v>
      </c>
      <c r="AE214" s="34">
        <f>-0.5*AE178*AE10</f>
        <v>-38.961044549999997</v>
      </c>
    </row>
    <row r="215" spans="1:31" x14ac:dyDescent="0.2">
      <c r="D215" s="19" t="s">
        <v>162</v>
      </c>
      <c r="G215" s="23">
        <v>-11.036</v>
      </c>
      <c r="H215" s="23">
        <v>0</v>
      </c>
      <c r="I215" s="23">
        <v>-2.2999999999999998</v>
      </c>
      <c r="J215" s="23">
        <v>0</v>
      </c>
      <c r="K215" s="23">
        <v>0</v>
      </c>
      <c r="L215" s="23">
        <v>0</v>
      </c>
      <c r="M215" s="23">
        <v>0</v>
      </c>
      <c r="N215" s="23">
        <v>0</v>
      </c>
      <c r="O215" s="23">
        <v>0</v>
      </c>
      <c r="P215" s="23">
        <v>0</v>
      </c>
      <c r="Q215" s="23">
        <v>0</v>
      </c>
      <c r="R215" s="23">
        <v>0</v>
      </c>
      <c r="S215" s="23">
        <v>0</v>
      </c>
      <c r="T215" s="23">
        <v>0</v>
      </c>
      <c r="U215" s="23">
        <v>0</v>
      </c>
      <c r="V215" s="23">
        <v>0</v>
      </c>
      <c r="X215" s="23">
        <v>0</v>
      </c>
      <c r="Y215" s="23">
        <v>-13.336</v>
      </c>
      <c r="Z215" s="23">
        <v>0</v>
      </c>
      <c r="AA215" s="34">
        <f t="shared" si="119"/>
        <v>0</v>
      </c>
      <c r="AB215" s="34">
        <f t="shared" si="120"/>
        <v>0</v>
      </c>
      <c r="AC215" s="23">
        <v>0</v>
      </c>
      <c r="AD215" s="23">
        <v>0</v>
      </c>
      <c r="AE215" s="23">
        <v>0</v>
      </c>
    </row>
    <row r="217" spans="1:31" x14ac:dyDescent="0.2">
      <c r="A217" s="1" t="s">
        <v>29</v>
      </c>
      <c r="B217" s="2" t="s">
        <v>163</v>
      </c>
      <c r="G217" s="20">
        <f t="shared" ref="G217:V217" si="124">SUM(G208:G215)</f>
        <v>0.48100000000000875</v>
      </c>
      <c r="H217" s="20">
        <f t="shared" si="124"/>
        <v>0.38800000000012069</v>
      </c>
      <c r="I217" s="20">
        <f t="shared" si="124"/>
        <v>50.444999999999951</v>
      </c>
      <c r="J217" s="20">
        <f t="shared" si="124"/>
        <v>6.7010000000001888</v>
      </c>
      <c r="K217" s="20">
        <f t="shared" si="124"/>
        <v>72.42499999999977</v>
      </c>
      <c r="L217" s="20">
        <f t="shared" si="124"/>
        <v>-423.60899999999975</v>
      </c>
      <c r="M217" s="20">
        <f t="shared" si="124"/>
        <v>54.795000000000179</v>
      </c>
      <c r="N217" s="20">
        <f t="shared" si="124"/>
        <v>127.30500000000005</v>
      </c>
      <c r="O217" s="20">
        <f t="shared" si="124"/>
        <v>-7.3571184999999995</v>
      </c>
      <c r="P217" s="20">
        <f t="shared" si="124"/>
        <v>-15.283411500000007</v>
      </c>
      <c r="Q217" s="20">
        <f t="shared" si="124"/>
        <v>-21.019564999999993</v>
      </c>
      <c r="R217" s="20">
        <f t="shared" si="124"/>
        <v>-20.608866999999975</v>
      </c>
      <c r="S217" s="20">
        <f t="shared" si="124"/>
        <v>-9.8297550000000005</v>
      </c>
      <c r="T217" s="20">
        <f t="shared" si="124"/>
        <v>-14.330817000000021</v>
      </c>
      <c r="U217" s="20">
        <f t="shared" si="124"/>
        <v>-20.711399999999966</v>
      </c>
      <c r="V217" s="20">
        <f t="shared" si="124"/>
        <v>-20.226366000000041</v>
      </c>
      <c r="X217" s="20">
        <f>SUM(X208:X215)</f>
        <v>167.012</v>
      </c>
      <c r="Y217" s="20">
        <f>SUM(Y208:Y215)</f>
        <v>45.659000000000177</v>
      </c>
      <c r="Z217" s="20">
        <f>SUM(Z208:Z215)</f>
        <v>-289.68799999999987</v>
      </c>
      <c r="AA217" s="20">
        <f>O217+P217+Q217+R217</f>
        <v>-64.268961999999974</v>
      </c>
      <c r="AB217" s="20">
        <f>S217+T217+U217+V217</f>
        <v>-65.098338000000027</v>
      </c>
      <c r="AC217" s="20">
        <f>SUM(AC208:AC215)</f>
        <v>-558.24386400000003</v>
      </c>
      <c r="AD217" s="20">
        <f>SUM(AD208:AD215)</f>
        <v>-165.92123024999972</v>
      </c>
      <c r="AE217" s="20">
        <f>SUM(AE208:AE215)</f>
        <v>-214.44635985000025</v>
      </c>
    </row>
    <row r="218" spans="1:31" x14ac:dyDescent="0.2">
      <c r="D218" s="9" t="s">
        <v>33</v>
      </c>
      <c r="G218" s="21">
        <f>G217-_reported!G31</f>
        <v>8.7707618945387367E-15</v>
      </c>
      <c r="H218" s="21">
        <f>H217-_reported!H31</f>
        <v>1.2068124277675452E-13</v>
      </c>
      <c r="I218" s="21">
        <f>I217-_reported!I31</f>
        <v>0</v>
      </c>
      <c r="J218" s="21">
        <f>J217-_reported!J31</f>
        <v>1.8918200339612667E-13</v>
      </c>
      <c r="K218" s="21">
        <f>K217-_reported!K31</f>
        <v>-2.2737367544323206E-13</v>
      </c>
      <c r="L218" s="21">
        <f>L217-_reported!L31</f>
        <v>0</v>
      </c>
      <c r="M218" s="21">
        <f>M217-_reported!M31</f>
        <v>1.7763568394002505E-13</v>
      </c>
      <c r="N218" s="21">
        <f>N217-_reported!N31</f>
        <v>0</v>
      </c>
      <c r="X218" s="21">
        <f>X217-_reported!X31</f>
        <v>0</v>
      </c>
      <c r="Y218" s="21">
        <f>Y217-_reported!Y31</f>
        <v>1.7763568394002505E-13</v>
      </c>
      <c r="Z218" s="21">
        <f>Z217-_reported!Z31</f>
        <v>0</v>
      </c>
    </row>
    <row r="221" spans="1:31" x14ac:dyDescent="0.2">
      <c r="D221" s="19" t="s">
        <v>164</v>
      </c>
      <c r="G221" s="10">
        <v>0</v>
      </c>
      <c r="H221" s="10">
        <v>0</v>
      </c>
      <c r="I221" s="10">
        <v>0</v>
      </c>
      <c r="J221" s="10">
        <v>-0.84299999999999997</v>
      </c>
      <c r="K221" s="10">
        <v>-0.29099999999999998</v>
      </c>
      <c r="L221" s="10">
        <v>0</v>
      </c>
      <c r="M221" s="10">
        <v>0</v>
      </c>
      <c r="N221" s="10">
        <v>0</v>
      </c>
      <c r="O221" s="10">
        <v>0</v>
      </c>
      <c r="P221" s="10">
        <v>0</v>
      </c>
      <c r="Q221" s="10">
        <v>0</v>
      </c>
      <c r="R221" s="10">
        <v>0</v>
      </c>
      <c r="S221" s="10">
        <v>0</v>
      </c>
      <c r="T221" s="10">
        <v>0</v>
      </c>
      <c r="U221" s="10">
        <v>0</v>
      </c>
      <c r="V221" s="10">
        <v>0</v>
      </c>
      <c r="X221" s="10">
        <v>-0.83</v>
      </c>
      <c r="Y221" s="10">
        <v>0</v>
      </c>
      <c r="Z221" s="10">
        <v>-1.1339999999999999</v>
      </c>
      <c r="AA221" s="29">
        <f>O221+P221+Q221+R221</f>
        <v>0</v>
      </c>
      <c r="AB221" s="29">
        <f>S221+T221+U221+V221</f>
        <v>0</v>
      </c>
      <c r="AC221" s="10">
        <v>0</v>
      </c>
      <c r="AD221" s="10">
        <v>0</v>
      </c>
      <c r="AE221" s="10">
        <v>0</v>
      </c>
    </row>
    <row r="222" spans="1:31" x14ac:dyDescent="0.2">
      <c r="D222" s="19" t="s">
        <v>165</v>
      </c>
      <c r="G222" s="23">
        <v>0</v>
      </c>
      <c r="H222" s="23">
        <v>0</v>
      </c>
      <c r="I222" s="23">
        <v>0</v>
      </c>
      <c r="J222" s="23">
        <v>0</v>
      </c>
      <c r="K222" s="23">
        <v>772.55600000000004</v>
      </c>
      <c r="L222" s="23">
        <v>-1.3169999999999999</v>
      </c>
      <c r="M222" s="23">
        <v>-0.65100000000000002</v>
      </c>
      <c r="N222" s="23">
        <v>0</v>
      </c>
      <c r="O222" s="23">
        <v>0</v>
      </c>
      <c r="P222" s="23">
        <v>0</v>
      </c>
      <c r="Q222" s="23">
        <v>0</v>
      </c>
      <c r="R222" s="23">
        <v>0</v>
      </c>
      <c r="S222" s="23">
        <v>0</v>
      </c>
      <c r="T222" s="23">
        <v>0</v>
      </c>
      <c r="U222" s="23">
        <v>0</v>
      </c>
      <c r="V222" s="23">
        <v>0</v>
      </c>
      <c r="X222" s="23">
        <v>0</v>
      </c>
      <c r="Y222" s="23">
        <v>0</v>
      </c>
      <c r="Z222" s="23">
        <v>770.58799999999997</v>
      </c>
      <c r="AA222" s="34">
        <f>O222+P222+Q222+R222</f>
        <v>0</v>
      </c>
      <c r="AB222" s="34">
        <f>S222+T222+U222+V222</f>
        <v>0</v>
      </c>
      <c r="AC222" s="23">
        <v>0</v>
      </c>
      <c r="AD222" s="23">
        <v>0</v>
      </c>
      <c r="AE222" s="23">
        <v>0</v>
      </c>
    </row>
    <row r="223" spans="1:31" x14ac:dyDescent="0.2">
      <c r="D223" s="19" t="s">
        <v>166</v>
      </c>
      <c r="G223" s="23">
        <v>0</v>
      </c>
      <c r="H223" s="23">
        <v>0</v>
      </c>
      <c r="I223" s="23">
        <v>0</v>
      </c>
      <c r="J223" s="23">
        <v>0</v>
      </c>
      <c r="K223" s="23">
        <v>-322.61900000000003</v>
      </c>
      <c r="L223" s="23">
        <v>-25.452999999999999</v>
      </c>
      <c r="M223" s="23">
        <v>-1.3340000000000001</v>
      </c>
      <c r="N223" s="23">
        <v>-1.54</v>
      </c>
      <c r="O223" s="23">
        <v>0</v>
      </c>
      <c r="P223" s="23">
        <v>0</v>
      </c>
      <c r="Q223" s="23">
        <v>0</v>
      </c>
      <c r="R223" s="23">
        <v>0</v>
      </c>
      <c r="S223" s="23">
        <v>0</v>
      </c>
      <c r="T223" s="23">
        <v>0</v>
      </c>
      <c r="U223" s="23">
        <v>0</v>
      </c>
      <c r="V223" s="23">
        <v>0</v>
      </c>
      <c r="X223" s="23">
        <v>0</v>
      </c>
      <c r="Y223" s="23">
        <v>0</v>
      </c>
      <c r="Z223" s="23">
        <v>-349.40600000000001</v>
      </c>
      <c r="AA223" s="34">
        <f>O223+P223+Q223+R223</f>
        <v>0</v>
      </c>
      <c r="AB223" s="34">
        <f>S223+T223+U223+V223</f>
        <v>0</v>
      </c>
      <c r="AC223" s="23">
        <v>0</v>
      </c>
      <c r="AD223" s="23">
        <v>0</v>
      </c>
      <c r="AE223" s="23">
        <v>0</v>
      </c>
    </row>
    <row r="224" spans="1:31" x14ac:dyDescent="0.2">
      <c r="D224" s="19" t="s">
        <v>167</v>
      </c>
      <c r="G224" s="23">
        <v>0.39200000000000002</v>
      </c>
      <c r="H224" s="23">
        <v>0.307</v>
      </c>
      <c r="I224" s="23">
        <v>0.499</v>
      </c>
      <c r="J224" s="23">
        <v>0.71699999999999997</v>
      </c>
      <c r="K224" s="23">
        <v>0.41</v>
      </c>
      <c r="L224" s="23">
        <v>9.798</v>
      </c>
      <c r="M224" s="23">
        <v>14.233000000000001</v>
      </c>
      <c r="N224" s="23">
        <v>13.923</v>
      </c>
      <c r="O224" s="23">
        <v>7</v>
      </c>
      <c r="P224" s="23">
        <v>7</v>
      </c>
      <c r="Q224" s="23">
        <v>7</v>
      </c>
      <c r="R224" s="23">
        <v>7</v>
      </c>
      <c r="S224" s="23">
        <v>7</v>
      </c>
      <c r="T224" s="23">
        <v>7</v>
      </c>
      <c r="U224" s="23">
        <v>7</v>
      </c>
      <c r="V224" s="23">
        <v>7</v>
      </c>
      <c r="X224" s="23">
        <v>1.7330000000000001</v>
      </c>
      <c r="Y224" s="23">
        <v>1.4059999999999999</v>
      </c>
      <c r="Z224" s="23">
        <v>25.158000000000001</v>
      </c>
      <c r="AA224" s="34">
        <f>O224+P224+Q224+R224</f>
        <v>28</v>
      </c>
      <c r="AB224" s="34">
        <f>S224+T224+U224+V224</f>
        <v>28</v>
      </c>
      <c r="AC224" s="23">
        <v>7</v>
      </c>
      <c r="AD224" s="23">
        <v>7</v>
      </c>
      <c r="AE224" s="23">
        <v>7</v>
      </c>
    </row>
    <row r="225" spans="1:31" x14ac:dyDescent="0.2">
      <c r="D225" s="19" t="s">
        <v>168</v>
      </c>
      <c r="G225" s="23">
        <v>-0.56399999999999995</v>
      </c>
      <c r="H225" s="23">
        <v>-0.35699999999999998</v>
      </c>
      <c r="I225" s="23">
        <v>0</v>
      </c>
      <c r="J225" s="23">
        <v>0</v>
      </c>
      <c r="K225" s="23">
        <v>0</v>
      </c>
      <c r="L225" s="23">
        <v>0</v>
      </c>
      <c r="M225" s="23">
        <v>-77.537999999999997</v>
      </c>
      <c r="N225" s="23">
        <v>-85.74</v>
      </c>
      <c r="O225" s="23">
        <v>-25</v>
      </c>
      <c r="P225" s="23">
        <v>-25</v>
      </c>
      <c r="Q225" s="23">
        <v>-25</v>
      </c>
      <c r="R225" s="23">
        <v>-25</v>
      </c>
      <c r="S225" s="23">
        <v>-25</v>
      </c>
      <c r="T225" s="23">
        <v>-25</v>
      </c>
      <c r="U225" s="23">
        <v>-25</v>
      </c>
      <c r="V225" s="23">
        <v>-25</v>
      </c>
      <c r="X225" s="23">
        <v>-6.0999999999999999E-2</v>
      </c>
      <c r="Y225" s="23">
        <v>-0.95</v>
      </c>
      <c r="Z225" s="23">
        <v>-77.537999999999997</v>
      </c>
      <c r="AA225" s="34">
        <f>O225+P225+Q225+R225</f>
        <v>-100</v>
      </c>
      <c r="AB225" s="34">
        <f>S225+T225+U225+V225</f>
        <v>-100</v>
      </c>
      <c r="AC225" s="23">
        <v>-100</v>
      </c>
      <c r="AD225" s="23">
        <v>-100</v>
      </c>
      <c r="AE225" s="23">
        <v>-100</v>
      </c>
    </row>
    <row r="227" spans="1:31" x14ac:dyDescent="0.2">
      <c r="A227" s="1" t="s">
        <v>29</v>
      </c>
      <c r="B227" s="2" t="s">
        <v>169</v>
      </c>
      <c r="G227" s="20">
        <f t="shared" ref="G227:V227" si="125">SUM(G221:G225)</f>
        <v>-0.17199999999999993</v>
      </c>
      <c r="H227" s="20">
        <f t="shared" si="125"/>
        <v>-4.9999999999999989E-2</v>
      </c>
      <c r="I227" s="20">
        <f t="shared" si="125"/>
        <v>0.499</v>
      </c>
      <c r="J227" s="20">
        <f t="shared" si="125"/>
        <v>-0.126</v>
      </c>
      <c r="K227" s="20">
        <f t="shared" si="125"/>
        <v>450.05599999999998</v>
      </c>
      <c r="L227" s="20">
        <f t="shared" si="125"/>
        <v>-16.972000000000001</v>
      </c>
      <c r="M227" s="20">
        <f t="shared" si="125"/>
        <v>-65.289999999999992</v>
      </c>
      <c r="N227" s="20">
        <f t="shared" si="125"/>
        <v>-73.356999999999999</v>
      </c>
      <c r="O227" s="20">
        <f t="shared" si="125"/>
        <v>-18</v>
      </c>
      <c r="P227" s="20">
        <f t="shared" si="125"/>
        <v>-18</v>
      </c>
      <c r="Q227" s="20">
        <f t="shared" si="125"/>
        <v>-18</v>
      </c>
      <c r="R227" s="20">
        <f t="shared" si="125"/>
        <v>-18</v>
      </c>
      <c r="S227" s="20">
        <f t="shared" si="125"/>
        <v>-18</v>
      </c>
      <c r="T227" s="20">
        <f t="shared" si="125"/>
        <v>-18</v>
      </c>
      <c r="U227" s="20">
        <f t="shared" si="125"/>
        <v>-18</v>
      </c>
      <c r="V227" s="20">
        <f t="shared" si="125"/>
        <v>-18</v>
      </c>
      <c r="X227" s="20">
        <f>SUM(X221:X225)</f>
        <v>0.84200000000000008</v>
      </c>
      <c r="Y227" s="20">
        <f>SUM(Y221:Y225)</f>
        <v>0.45599999999999996</v>
      </c>
      <c r="Z227" s="20">
        <f>SUM(Z221:Z225)</f>
        <v>367.66799999999995</v>
      </c>
      <c r="AA227" s="20">
        <f>O227+P227+Q227+R227</f>
        <v>-72</v>
      </c>
      <c r="AB227" s="20">
        <f>S227+T227+U227+V227</f>
        <v>-72</v>
      </c>
      <c r="AC227" s="20">
        <f>SUM(AC221:AC225)</f>
        <v>-93</v>
      </c>
      <c r="AD227" s="20">
        <f>SUM(AD221:AD225)</f>
        <v>-93</v>
      </c>
      <c r="AE227" s="20">
        <f>SUM(AE221:AE225)</f>
        <v>-93</v>
      </c>
    </row>
    <row r="228" spans="1:31" x14ac:dyDescent="0.2">
      <c r="D228" s="9" t="s">
        <v>33</v>
      </c>
      <c r="G228" s="21">
        <f>G227-_reported!G32</f>
        <v>0</v>
      </c>
      <c r="H228" s="21">
        <f>H227-_reported!H32</f>
        <v>0</v>
      </c>
      <c r="I228" s="21">
        <f>I227-_reported!I32</f>
        <v>0</v>
      </c>
      <c r="J228" s="21">
        <f>J227-_reported!J32</f>
        <v>0</v>
      </c>
      <c r="K228" s="21">
        <f>K227-_reported!K32</f>
        <v>0</v>
      </c>
      <c r="L228" s="21">
        <f>L227-_reported!L32</f>
        <v>0</v>
      </c>
      <c r="M228" s="21">
        <f>M227-_reported!M32</f>
        <v>0</v>
      </c>
      <c r="N228" s="21">
        <f>N227-_reported!N32</f>
        <v>0</v>
      </c>
      <c r="X228" s="21">
        <f>X227-_reported!X32</f>
        <v>0</v>
      </c>
      <c r="Y228" s="21">
        <f>Y227-_reported!Y32</f>
        <v>0</v>
      </c>
      <c r="Z228" s="21">
        <f>Z227-_reported!Z32</f>
        <v>0</v>
      </c>
    </row>
    <row r="231" spans="1:31" x14ac:dyDescent="0.2">
      <c r="A231" s="1" t="s">
        <v>29</v>
      </c>
      <c r="B231" s="2" t="s">
        <v>170</v>
      </c>
      <c r="G231" s="20">
        <f t="shared" ref="G231:V231" si="126">G204+G217+G227</f>
        <v>-1.0129999999999673</v>
      </c>
      <c r="H231" s="20">
        <f t="shared" si="126"/>
        <v>-24.589999999999879</v>
      </c>
      <c r="I231" s="20">
        <f t="shared" si="126"/>
        <v>69.174999999999926</v>
      </c>
      <c r="J231" s="20">
        <f t="shared" si="126"/>
        <v>-19.175999999999803</v>
      </c>
      <c r="K231" s="20">
        <f t="shared" si="126"/>
        <v>550.97499999999991</v>
      </c>
      <c r="L231" s="20">
        <f t="shared" si="126"/>
        <v>-423.0969999999997</v>
      </c>
      <c r="M231" s="20">
        <f t="shared" si="126"/>
        <v>22.058000000000149</v>
      </c>
      <c r="N231" s="20">
        <f t="shared" si="126"/>
        <v>141.42700000000008</v>
      </c>
      <c r="O231" s="20">
        <f t="shared" si="126"/>
        <v>52.743200403249972</v>
      </c>
      <c r="P231" s="20">
        <f t="shared" si="126"/>
        <v>65.338797644749917</v>
      </c>
      <c r="Q231" s="20">
        <f t="shared" si="126"/>
        <v>61.455493706999988</v>
      </c>
      <c r="R231" s="20">
        <f t="shared" si="126"/>
        <v>77.427565471500003</v>
      </c>
      <c r="S231" s="20">
        <f t="shared" si="126"/>
        <v>111.97941114037496</v>
      </c>
      <c r="T231" s="20">
        <f t="shared" si="126"/>
        <v>108.52145542737486</v>
      </c>
      <c r="U231" s="20">
        <f t="shared" si="126"/>
        <v>103.22613151949997</v>
      </c>
      <c r="V231" s="20">
        <f t="shared" si="126"/>
        <v>117.34285823049981</v>
      </c>
      <c r="X231" s="20">
        <f>X204+X217+X227</f>
        <v>11.259999999999922</v>
      </c>
      <c r="Y231" s="20">
        <f>Y204+Y217+Y227</f>
        <v>110.25500000000035</v>
      </c>
      <c r="Z231" s="20">
        <f>Z204+Z217+Z227</f>
        <v>130.76000000000019</v>
      </c>
      <c r="AA231" s="20">
        <f>O231+P231+Q231+R231</f>
        <v>256.96505722649988</v>
      </c>
      <c r="AB231" s="20">
        <f>S231+T231+U231+V231</f>
        <v>441.06985631774961</v>
      </c>
      <c r="AC231" s="20">
        <f>AC204+AC217+AC227</f>
        <v>-1077.0727416610002</v>
      </c>
      <c r="AD231" s="20">
        <f>AD204+AD217+AD227</f>
        <v>474.74614137387539</v>
      </c>
      <c r="AE231" s="20">
        <f>AE204+AE217+AE227</f>
        <v>661.17555102891447</v>
      </c>
    </row>
    <row r="232" spans="1:31" x14ac:dyDescent="0.2">
      <c r="D232" s="9" t="s">
        <v>33</v>
      </c>
      <c r="G232" s="21">
        <f>G231-_reported!G33</f>
        <v>3.2640556923979602E-14</v>
      </c>
      <c r="H232" s="21">
        <f>H231-_reported!H33</f>
        <v>1.2079226507921703E-13</v>
      </c>
      <c r="I232" s="21">
        <f>I231-_reported!I33</f>
        <v>0</v>
      </c>
      <c r="J232" s="21">
        <f>J231-_reported!J33</f>
        <v>1.9539925233402755E-13</v>
      </c>
      <c r="K232" s="21">
        <f>K231-_reported!K33</f>
        <v>0</v>
      </c>
      <c r="L232" s="21">
        <f>L231-_reported!L33</f>
        <v>0</v>
      </c>
      <c r="M232" s="21">
        <f>M231-_reported!M33</f>
        <v>1.4921397450962104E-13</v>
      </c>
      <c r="N232" s="21">
        <f>N231-_reported!N33</f>
        <v>0</v>
      </c>
      <c r="X232" s="21">
        <f>X231-_reported!X33</f>
        <v>-7.815970093361102E-14</v>
      </c>
      <c r="Y232" s="21">
        <f>Y231-_reported!Y33</f>
        <v>3.5527136788005009E-13</v>
      </c>
      <c r="Z232" s="21">
        <f>Z231-_reported!Z33</f>
        <v>0</v>
      </c>
    </row>
    <row r="234" spans="1:31" x14ac:dyDescent="0.2">
      <c r="D234" s="19" t="s">
        <v>171</v>
      </c>
      <c r="G234" s="10">
        <v>306.428</v>
      </c>
      <c r="H234" s="10">
        <v>305.41500000000002</v>
      </c>
      <c r="I234" s="10">
        <v>280.82499999999999</v>
      </c>
      <c r="J234" s="10">
        <v>350</v>
      </c>
      <c r="K234" s="10">
        <v>330.82400000000001</v>
      </c>
      <c r="L234" s="10">
        <v>881.79899999999998</v>
      </c>
      <c r="M234" s="10">
        <v>458.702</v>
      </c>
      <c r="N234" s="10">
        <v>480.76</v>
      </c>
      <c r="O234" s="29">
        <f t="shared" ref="O234:V234" si="127">N235</f>
        <v>622.18700000000013</v>
      </c>
      <c r="P234" s="29">
        <f t="shared" si="127"/>
        <v>674.93020040325007</v>
      </c>
      <c r="Q234" s="29">
        <f t="shared" si="127"/>
        <v>740.26899804799996</v>
      </c>
      <c r="R234" s="29">
        <f t="shared" si="127"/>
        <v>801.72449175499992</v>
      </c>
      <c r="S234" s="29">
        <f t="shared" si="127"/>
        <v>879.15205722649989</v>
      </c>
      <c r="T234" s="29">
        <f t="shared" si="127"/>
        <v>991.13146836687486</v>
      </c>
      <c r="U234" s="29">
        <f t="shared" si="127"/>
        <v>1099.6529237942498</v>
      </c>
      <c r="V234" s="29">
        <f t="shared" si="127"/>
        <v>1202.8790553137496</v>
      </c>
      <c r="X234" s="10">
        <v>228.48500000000001</v>
      </c>
      <c r="Y234" s="10">
        <v>239.745</v>
      </c>
      <c r="Z234" s="10">
        <v>350</v>
      </c>
      <c r="AA234" s="29">
        <f>O234</f>
        <v>622.18700000000013</v>
      </c>
      <c r="AB234" s="29">
        <f>S234</f>
        <v>879.15205722649989</v>
      </c>
      <c r="AC234" s="29">
        <f>AB235</f>
        <v>1320.2219135442494</v>
      </c>
      <c r="AD234" s="29">
        <f>AC235</f>
        <v>243.14917188324921</v>
      </c>
      <c r="AE234" s="29">
        <f>AD235</f>
        <v>717.8953132571246</v>
      </c>
    </row>
    <row r="235" spans="1:31" x14ac:dyDescent="0.2">
      <c r="A235" s="1" t="s">
        <v>29</v>
      </c>
      <c r="B235" s="2" t="s">
        <v>172</v>
      </c>
      <c r="G235" s="20">
        <f t="shared" ref="G235:V235" si="128">G234+G231</f>
        <v>305.41500000000002</v>
      </c>
      <c r="H235" s="20">
        <f t="shared" si="128"/>
        <v>280.82500000000016</v>
      </c>
      <c r="I235" s="20">
        <f t="shared" si="128"/>
        <v>349.99999999999989</v>
      </c>
      <c r="J235" s="20">
        <f t="shared" si="128"/>
        <v>330.82400000000018</v>
      </c>
      <c r="K235" s="20">
        <f t="shared" si="128"/>
        <v>881.79899999999998</v>
      </c>
      <c r="L235" s="20">
        <f t="shared" si="128"/>
        <v>458.70200000000028</v>
      </c>
      <c r="M235" s="20">
        <f t="shared" si="128"/>
        <v>480.76000000000016</v>
      </c>
      <c r="N235" s="20">
        <f t="shared" si="128"/>
        <v>622.18700000000013</v>
      </c>
      <c r="O235" s="20">
        <f t="shared" si="128"/>
        <v>674.93020040325007</v>
      </c>
      <c r="P235" s="20">
        <f t="shared" si="128"/>
        <v>740.26899804799996</v>
      </c>
      <c r="Q235" s="20">
        <f t="shared" si="128"/>
        <v>801.72449175499992</v>
      </c>
      <c r="R235" s="20">
        <f t="shared" si="128"/>
        <v>879.15205722649989</v>
      </c>
      <c r="S235" s="20">
        <f t="shared" si="128"/>
        <v>991.13146836687486</v>
      </c>
      <c r="T235" s="20">
        <f t="shared" si="128"/>
        <v>1099.6529237942498</v>
      </c>
      <c r="U235" s="20">
        <f t="shared" si="128"/>
        <v>1202.8790553137496</v>
      </c>
      <c r="V235" s="20">
        <f t="shared" si="128"/>
        <v>1320.2219135442494</v>
      </c>
      <c r="X235" s="20">
        <f>X234+X231</f>
        <v>239.74499999999995</v>
      </c>
      <c r="Y235" s="20">
        <f>Y234+Y231</f>
        <v>350.00000000000034</v>
      </c>
      <c r="Z235" s="20">
        <f>Z234+Z231</f>
        <v>480.76000000000022</v>
      </c>
      <c r="AA235" s="20">
        <f>R235</f>
        <v>879.15205722649989</v>
      </c>
      <c r="AB235" s="20">
        <f>V235</f>
        <v>1320.2219135442494</v>
      </c>
      <c r="AC235" s="20">
        <f>AC234+AC231</f>
        <v>243.14917188324921</v>
      </c>
      <c r="AD235" s="20">
        <f>AD234+AD231</f>
        <v>717.8953132571246</v>
      </c>
      <c r="AE235" s="20">
        <f>AE234+AE231</f>
        <v>1379.0708642860391</v>
      </c>
    </row>
    <row r="236" spans="1:31" x14ac:dyDescent="0.2">
      <c r="D236" s="9" t="s">
        <v>173</v>
      </c>
      <c r="G236" s="21">
        <f t="shared" ref="G236:V236" si="129">G235-(G97+G98)</f>
        <v>305.41500000000002</v>
      </c>
      <c r="H236" s="21">
        <f t="shared" si="129"/>
        <v>280.82500000000016</v>
      </c>
      <c r="I236" s="21">
        <f t="shared" si="129"/>
        <v>349.99999999999989</v>
      </c>
      <c r="J236" s="21">
        <f t="shared" si="129"/>
        <v>0</v>
      </c>
      <c r="K236" s="21">
        <f t="shared" si="129"/>
        <v>0</v>
      </c>
      <c r="L236" s="21">
        <f t="shared" si="129"/>
        <v>0</v>
      </c>
      <c r="M236" s="21">
        <f t="shared" si="129"/>
        <v>0</v>
      </c>
      <c r="N236" s="21">
        <f t="shared" si="129"/>
        <v>0</v>
      </c>
      <c r="O236" s="21">
        <f t="shared" si="129"/>
        <v>0</v>
      </c>
      <c r="P236" s="21">
        <f t="shared" si="129"/>
        <v>0</v>
      </c>
      <c r="Q236" s="21">
        <f t="shared" si="129"/>
        <v>0</v>
      </c>
      <c r="R236" s="21">
        <f t="shared" si="129"/>
        <v>0</v>
      </c>
      <c r="S236" s="21">
        <f t="shared" si="129"/>
        <v>0</v>
      </c>
      <c r="T236" s="21">
        <f t="shared" si="129"/>
        <v>0</v>
      </c>
      <c r="U236" s="21">
        <f t="shared" si="129"/>
        <v>0</v>
      </c>
      <c r="V236" s="21">
        <f t="shared" si="129"/>
        <v>0</v>
      </c>
      <c r="X236" s="21">
        <f t="shared" ref="X236:AE236" si="130">X235-(X97+X98)</f>
        <v>239.74499999999995</v>
      </c>
      <c r="Y236" s="21">
        <f t="shared" si="130"/>
        <v>0</v>
      </c>
      <c r="Z236" s="21">
        <f t="shared" si="130"/>
        <v>0</v>
      </c>
      <c r="AA236" s="21">
        <f t="shared" si="130"/>
        <v>0</v>
      </c>
      <c r="AB236" s="21">
        <f t="shared" si="130"/>
        <v>0</v>
      </c>
      <c r="AC236" s="21">
        <f t="shared" si="130"/>
        <v>2.2737367544323206E-13</v>
      </c>
      <c r="AD236" s="21">
        <f t="shared" si="130"/>
        <v>0</v>
      </c>
      <c r="AE236" s="21">
        <f t="shared" si="130"/>
        <v>0</v>
      </c>
    </row>
    <row r="239" spans="1:31" ht="16" x14ac:dyDescent="0.2">
      <c r="B239" s="31" t="s">
        <v>174</v>
      </c>
      <c r="C239" s="31"/>
      <c r="D239" s="31"/>
      <c r="E239" s="31"/>
      <c r="F239" s="31"/>
      <c r="G239" s="31"/>
      <c r="H239" s="31"/>
      <c r="I239" s="31"/>
      <c r="J239" s="31"/>
      <c r="K239" s="31"/>
      <c r="L239" s="31"/>
      <c r="M239" s="31"/>
      <c r="N239" s="31"/>
      <c r="O239" s="31"/>
      <c r="P239" s="31"/>
      <c r="Q239" s="31"/>
      <c r="R239" s="31"/>
      <c r="S239" s="31"/>
      <c r="T239" s="31"/>
      <c r="U239" s="31"/>
      <c r="V239" s="31"/>
      <c r="X239" s="31"/>
      <c r="Y239" s="31"/>
      <c r="Z239" s="31"/>
      <c r="AA239" s="31"/>
      <c r="AB239" s="31"/>
      <c r="AC239" s="31"/>
      <c r="AD239" s="31"/>
      <c r="AE239" s="31"/>
    </row>
    <row r="241" spans="4:31" x14ac:dyDescent="0.2">
      <c r="D241" s="19" t="s">
        <v>175</v>
      </c>
      <c r="G241" s="29">
        <f t="shared" ref="G241:V241" si="131">G213+G214</f>
        <v>-2.2399999999999998</v>
      </c>
      <c r="H241" s="29">
        <f t="shared" si="131"/>
        <v>-6.1790000000000003</v>
      </c>
      <c r="I241" s="29">
        <f t="shared" si="131"/>
        <v>-3.8579999999999997</v>
      </c>
      <c r="J241" s="29">
        <f t="shared" si="131"/>
        <v>-4.7910000000000004</v>
      </c>
      <c r="K241" s="29">
        <f t="shared" si="131"/>
        <v>-5.2289999999999992</v>
      </c>
      <c r="L241" s="29">
        <f t="shared" si="131"/>
        <v>-3.714</v>
      </c>
      <c r="M241" s="29">
        <f t="shared" si="131"/>
        <v>-14.986000000000001</v>
      </c>
      <c r="N241" s="29">
        <f t="shared" si="131"/>
        <v>-7.452</v>
      </c>
      <c r="O241" s="29">
        <f t="shared" si="131"/>
        <v>-7.6726859999999997</v>
      </c>
      <c r="P241" s="29">
        <f t="shared" si="131"/>
        <v>-7.963703999999999</v>
      </c>
      <c r="Q241" s="29">
        <f t="shared" si="131"/>
        <v>-8.5885800000000003</v>
      </c>
      <c r="R241" s="29">
        <f t="shared" si="131"/>
        <v>-9.116187</v>
      </c>
      <c r="S241" s="29">
        <f t="shared" si="131"/>
        <v>-9.1607849999999988</v>
      </c>
      <c r="T241" s="29">
        <f t="shared" si="131"/>
        <v>-9.4839120000000001</v>
      </c>
      <c r="U241" s="29">
        <f t="shared" si="131"/>
        <v>-10.18563</v>
      </c>
      <c r="V241" s="29">
        <f t="shared" si="131"/>
        <v>-10.813176</v>
      </c>
      <c r="X241" s="29">
        <f t="shared" ref="X241:AE241" si="132">X213+X214</f>
        <v>-27.814999999999998</v>
      </c>
      <c r="Y241" s="29">
        <f t="shared" si="132"/>
        <v>-14.469000000000001</v>
      </c>
      <c r="Z241" s="29">
        <f t="shared" si="132"/>
        <v>-28.72</v>
      </c>
      <c r="AA241" s="29">
        <f t="shared" si="132"/>
        <v>-33.341156999999995</v>
      </c>
      <c r="AB241" s="29">
        <f t="shared" si="132"/>
        <v>-39.643503000000003</v>
      </c>
      <c r="AC241" s="29">
        <f t="shared" si="132"/>
        <v>-51.990624000000004</v>
      </c>
      <c r="AD241" s="29">
        <f t="shared" si="132"/>
        <v>-61.805341499999983</v>
      </c>
      <c r="AE241" s="29">
        <f t="shared" si="132"/>
        <v>-77.922089099999994</v>
      </c>
    </row>
    <row r="242" spans="4:31" x14ac:dyDescent="0.2">
      <c r="D242" s="2" t="s">
        <v>176</v>
      </c>
      <c r="G242" s="32">
        <f t="shared" ref="G242:V242" si="133">G204+G241</f>
        <v>-3.5619999999999759</v>
      </c>
      <c r="H242" s="32">
        <f t="shared" si="133"/>
        <v>-31.106999999999999</v>
      </c>
      <c r="I242" s="32">
        <f t="shared" si="133"/>
        <v>14.37299999999998</v>
      </c>
      <c r="J242" s="32">
        <f t="shared" si="133"/>
        <v>-30.541999999999991</v>
      </c>
      <c r="K242" s="32">
        <f t="shared" si="133"/>
        <v>23.265000000000128</v>
      </c>
      <c r="L242" s="32">
        <f t="shared" si="133"/>
        <v>13.770000000000016</v>
      </c>
      <c r="M242" s="32">
        <f t="shared" si="133"/>
        <v>17.566999999999961</v>
      </c>
      <c r="N242" s="32">
        <f t="shared" si="133"/>
        <v>80.027000000000029</v>
      </c>
      <c r="O242" s="29">
        <f t="shared" si="133"/>
        <v>70.427632903249972</v>
      </c>
      <c r="P242" s="29">
        <f t="shared" si="133"/>
        <v>90.658505144749938</v>
      </c>
      <c r="Q242" s="29">
        <f t="shared" si="133"/>
        <v>91.886478706999981</v>
      </c>
      <c r="R242" s="29">
        <f t="shared" si="133"/>
        <v>106.92024547149998</v>
      </c>
      <c r="S242" s="29">
        <f t="shared" si="133"/>
        <v>130.64838114037497</v>
      </c>
      <c r="T242" s="29">
        <f t="shared" si="133"/>
        <v>131.36836042737488</v>
      </c>
      <c r="U242" s="29">
        <f t="shared" si="133"/>
        <v>131.75190151949994</v>
      </c>
      <c r="V242" s="29">
        <f t="shared" si="133"/>
        <v>144.75604823049986</v>
      </c>
      <c r="X242" s="32">
        <f t="shared" ref="X242:AE242" si="134">X204+X241</f>
        <v>-184.40900000000008</v>
      </c>
      <c r="Y242" s="32">
        <f t="shared" si="134"/>
        <v>49.67100000000017</v>
      </c>
      <c r="Z242" s="32">
        <f t="shared" si="134"/>
        <v>24.060000000000109</v>
      </c>
      <c r="AA242" s="29">
        <f t="shared" si="134"/>
        <v>359.89286222649986</v>
      </c>
      <c r="AB242" s="29">
        <f t="shared" si="134"/>
        <v>538.52469131774967</v>
      </c>
      <c r="AC242" s="29">
        <f t="shared" si="134"/>
        <v>-477.81950166100023</v>
      </c>
      <c r="AD242" s="29">
        <f t="shared" si="134"/>
        <v>671.86203012387523</v>
      </c>
      <c r="AE242" s="29">
        <f t="shared" si="134"/>
        <v>890.69982177891472</v>
      </c>
    </row>
    <row r="244" spans="4:31" x14ac:dyDescent="0.2">
      <c r="D244" s="19" t="s">
        <v>177</v>
      </c>
      <c r="G244" s="24">
        <f t="shared" ref="G244:V244" si="135">IFERROR(G204/G10,"")</f>
        <v>-3.4407908092885112E-3</v>
      </c>
      <c r="H244" s="24">
        <f t="shared" si="135"/>
        <v>-5.9089152845301057E-2</v>
      </c>
      <c r="I244" s="24">
        <f t="shared" si="135"/>
        <v>3.836393020378269E-2</v>
      </c>
      <c r="J244" s="24">
        <f t="shared" si="135"/>
        <v>-4.964105608932342E-2</v>
      </c>
      <c r="K244" s="24">
        <f t="shared" si="135"/>
        <v>5.3950684371266683E-2</v>
      </c>
      <c r="L244" s="24">
        <f t="shared" si="135"/>
        <v>3.2168148675575305E-2</v>
      </c>
      <c r="M244" s="24">
        <f t="shared" si="135"/>
        <v>5.4586339078204642E-2</v>
      </c>
      <c r="N244" s="24">
        <f t="shared" si="135"/>
        <v>0.1351262845871172</v>
      </c>
      <c r="O244" s="24">
        <f t="shared" si="135"/>
        <v>0.12214807524235967</v>
      </c>
      <c r="P244" s="24">
        <f t="shared" si="135"/>
        <v>0.14860754615402572</v>
      </c>
      <c r="Q244" s="24">
        <f t="shared" si="135"/>
        <v>0.1403841734587091</v>
      </c>
      <c r="R244" s="24">
        <f t="shared" si="135"/>
        <v>0.15274337721001113</v>
      </c>
      <c r="S244" s="24">
        <f t="shared" si="135"/>
        <v>0.18314041795375613</v>
      </c>
      <c r="T244" s="24">
        <f t="shared" si="135"/>
        <v>0.17822047158688298</v>
      </c>
      <c r="U244" s="24">
        <f t="shared" si="135"/>
        <v>0.16722091596042654</v>
      </c>
      <c r="V244" s="24">
        <f t="shared" si="135"/>
        <v>0.1726440678266957</v>
      </c>
      <c r="X244" s="24">
        <f t="shared" ref="X244:AE244" si="136">IFERROR(X204/X10,"")</f>
        <v>-0.12248690802570297</v>
      </c>
      <c r="Y244" s="24">
        <f t="shared" si="136"/>
        <v>3.833215101696151E-2</v>
      </c>
      <c r="Z244" s="24">
        <f t="shared" si="136"/>
        <v>2.4136054546202896E-2</v>
      </c>
      <c r="AA244" s="24">
        <f t="shared" si="136"/>
        <v>0.14153102817391727</v>
      </c>
      <c r="AB244" s="24">
        <f t="shared" si="136"/>
        <v>0.1750102237890783</v>
      </c>
      <c r="AC244" s="24">
        <f t="shared" si="136"/>
        <v>-0.11466691161956438</v>
      </c>
      <c r="AD244" s="24">
        <f t="shared" si="136"/>
        <v>0.16618860042597217</v>
      </c>
      <c r="AE244" s="24">
        <f t="shared" si="136"/>
        <v>0.18645969109654839</v>
      </c>
    </row>
    <row r="245" spans="4:31" x14ac:dyDescent="0.2">
      <c r="D245" s="19" t="s">
        <v>178</v>
      </c>
      <c r="G245" s="24">
        <f t="shared" ref="G245:V245" si="137">IFERROR(G242/G10,"")</f>
        <v>-9.2708750852388919E-3</v>
      </c>
      <c r="H245" s="24">
        <f t="shared" si="137"/>
        <v>-7.3735810235830382E-2</v>
      </c>
      <c r="I245" s="24">
        <f t="shared" si="137"/>
        <v>3.0245448347263917E-2</v>
      </c>
      <c r="J245" s="24">
        <f t="shared" si="137"/>
        <v>-5.8876825563283601E-2</v>
      </c>
      <c r="K245" s="24">
        <f t="shared" si="137"/>
        <v>4.4050069203955947E-2</v>
      </c>
      <c r="L245" s="24">
        <f t="shared" si="137"/>
        <v>2.5334900895828877E-2</v>
      </c>
      <c r="M245" s="24">
        <f t="shared" si="137"/>
        <v>2.9457138161976468E-2</v>
      </c>
      <c r="N245" s="24">
        <f t="shared" si="137"/>
        <v>0.12361539542808249</v>
      </c>
      <c r="O245" s="24">
        <f t="shared" si="137"/>
        <v>0.11014807524235967</v>
      </c>
      <c r="P245" s="24">
        <f t="shared" si="137"/>
        <v>0.13660754615402573</v>
      </c>
      <c r="Q245" s="24">
        <f t="shared" si="137"/>
        <v>0.12838417345870909</v>
      </c>
      <c r="R245" s="24">
        <f t="shared" si="137"/>
        <v>0.14074337721001115</v>
      </c>
      <c r="S245" s="24">
        <f t="shared" si="137"/>
        <v>0.17114041795375612</v>
      </c>
      <c r="T245" s="24">
        <f t="shared" si="137"/>
        <v>0.16622047158688297</v>
      </c>
      <c r="U245" s="24">
        <f t="shared" si="137"/>
        <v>0.15522091596042656</v>
      </c>
      <c r="V245" s="24">
        <f t="shared" si="137"/>
        <v>0.16064406782669571</v>
      </c>
      <c r="X245" s="24">
        <f t="shared" ref="X245:AE245" si="138">IFERROR(X242/X10,"")</f>
        <v>-0.14424363782847271</v>
      </c>
      <c r="Y245" s="24">
        <f t="shared" si="138"/>
        <v>2.9685005817952862E-2</v>
      </c>
      <c r="Z245" s="24">
        <f t="shared" si="138"/>
        <v>1.100252884391139E-2</v>
      </c>
      <c r="AA245" s="24">
        <f t="shared" si="138"/>
        <v>0.12953102817391726</v>
      </c>
      <c r="AB245" s="24">
        <f t="shared" si="138"/>
        <v>0.16301022378907828</v>
      </c>
      <c r="AC245" s="24">
        <f t="shared" si="138"/>
        <v>-0.12866691161956439</v>
      </c>
      <c r="AD245" s="24">
        <f t="shared" si="138"/>
        <v>0.15218860042597218</v>
      </c>
      <c r="AE245" s="24">
        <f t="shared" si="138"/>
        <v>0.17145969109654838</v>
      </c>
    </row>
    <row r="246" spans="4:31" x14ac:dyDescent="0.2">
      <c r="D246" s="19" t="s">
        <v>179</v>
      </c>
      <c r="G246" s="24">
        <f t="shared" ref="G246:V246" si="139">IFERROR(-G241/G10,"")</f>
        <v>5.8300842759503816E-3</v>
      </c>
      <c r="H246" s="24">
        <f t="shared" si="139"/>
        <v>1.4646657390529333E-2</v>
      </c>
      <c r="I246" s="24">
        <f t="shared" si="139"/>
        <v>8.1184818565187746E-3</v>
      </c>
      <c r="J246" s="24">
        <f t="shared" si="139"/>
        <v>9.2357694739601814E-3</v>
      </c>
      <c r="K246" s="24">
        <f t="shared" si="139"/>
        <v>9.9006151673107379E-3</v>
      </c>
      <c r="L246" s="24">
        <f t="shared" si="139"/>
        <v>6.8332477797464304E-3</v>
      </c>
      <c r="M246" s="24">
        <f t="shared" si="139"/>
        <v>2.5129200916228174E-2</v>
      </c>
      <c r="N246" s="24">
        <f t="shared" si="139"/>
        <v>1.1510889159034705E-2</v>
      </c>
      <c r="O246" s="24">
        <f t="shared" si="139"/>
        <v>1.2E-2</v>
      </c>
      <c r="P246" s="24">
        <f t="shared" si="139"/>
        <v>1.2E-2</v>
      </c>
      <c r="Q246" s="24">
        <f t="shared" si="139"/>
        <v>1.2E-2</v>
      </c>
      <c r="R246" s="24">
        <f t="shared" si="139"/>
        <v>1.2E-2</v>
      </c>
      <c r="S246" s="24">
        <f t="shared" si="139"/>
        <v>1.1999999999999999E-2</v>
      </c>
      <c r="T246" s="24">
        <f t="shared" si="139"/>
        <v>1.2E-2</v>
      </c>
      <c r="U246" s="24">
        <f t="shared" si="139"/>
        <v>1.2000000000000002E-2</v>
      </c>
      <c r="V246" s="24">
        <f t="shared" si="139"/>
        <v>1.2E-2</v>
      </c>
      <c r="X246" s="24">
        <f t="shared" ref="X246:AE246" si="140">IFERROR(-X241/X10,"")</f>
        <v>2.1756729802769749E-2</v>
      </c>
      <c r="Y246" s="24">
        <f t="shared" si="140"/>
        <v>8.6471451990086483E-3</v>
      </c>
      <c r="Z246" s="24">
        <f t="shared" si="140"/>
        <v>1.3133525702291508E-2</v>
      </c>
      <c r="AA246" s="24">
        <f t="shared" si="140"/>
        <v>1.1999999999999999E-2</v>
      </c>
      <c r="AB246" s="24">
        <f t="shared" si="140"/>
        <v>1.2000000000000002E-2</v>
      </c>
      <c r="AC246" s="24">
        <f t="shared" si="140"/>
        <v>1.4E-2</v>
      </c>
      <c r="AD246" s="24">
        <f t="shared" si="140"/>
        <v>1.4E-2</v>
      </c>
      <c r="AE246" s="24">
        <f t="shared" si="140"/>
        <v>1.4999999999999998E-2</v>
      </c>
    </row>
    <row r="247" spans="4:31" x14ac:dyDescent="0.2">
      <c r="D247" s="19" t="s">
        <v>180</v>
      </c>
      <c r="G247" s="24">
        <f t="shared" ref="G247:V247" si="141">IFERROR(G204/G37,"")</f>
        <v>-3.4337662337659411</v>
      </c>
      <c r="H247" s="24">
        <f t="shared" si="141"/>
        <v>1.1317533823662942</v>
      </c>
      <c r="I247" s="24">
        <f t="shared" si="141"/>
        <v>-0.92986840763031553</v>
      </c>
      <c r="J247" s="24">
        <f t="shared" si="141"/>
        <v>-1.9901847128835297</v>
      </c>
      <c r="K247" s="24">
        <f t="shared" si="141"/>
        <v>-3.0858501845402231E-2</v>
      </c>
      <c r="L247" s="24">
        <f t="shared" si="141"/>
        <v>-0.31950586601366948</v>
      </c>
      <c r="M247" s="24">
        <f t="shared" si="141"/>
        <v>-0.72700270228018715</v>
      </c>
      <c r="N247" s="24">
        <f t="shared" si="141"/>
        <v>1.6364673750374141</v>
      </c>
      <c r="O247" s="24">
        <f t="shared" si="141"/>
        <v>2.7347979777975104</v>
      </c>
      <c r="P247" s="24">
        <f t="shared" si="141"/>
        <v>2.0039191986866691</v>
      </c>
      <c r="Q247" s="24">
        <f t="shared" si="141"/>
        <v>1.5187458116442467</v>
      </c>
      <c r="R247" s="24">
        <f t="shared" si="141"/>
        <v>1.4423760157468544</v>
      </c>
      <c r="S247" s="24">
        <f t="shared" si="141"/>
        <v>1.7249268809874867</v>
      </c>
      <c r="T247" s="24">
        <f t="shared" si="141"/>
        <v>1.4643883407977845</v>
      </c>
      <c r="U247" s="24">
        <f t="shared" si="141"/>
        <v>1.2482195832446485</v>
      </c>
      <c r="V247" s="24">
        <f t="shared" si="141"/>
        <v>1.1573994641180716</v>
      </c>
      <c r="X247" s="24">
        <f t="shared" ref="X247:AE247" si="142">IFERROR(X204/X37,"")</f>
        <v>0.77063217881713775</v>
      </c>
      <c r="Y247" s="24">
        <f t="shared" si="142"/>
        <v>-2.5307765151515382</v>
      </c>
      <c r="Z247" s="24">
        <f t="shared" si="142"/>
        <v>-5.2260737314047741E-2</v>
      </c>
      <c r="AA247" s="24">
        <f t="shared" si="142"/>
        <v>1.7525565543764221</v>
      </c>
      <c r="AB247" s="24">
        <f t="shared" si="142"/>
        <v>1.3592379896953606</v>
      </c>
      <c r="AC247" s="24">
        <f t="shared" si="142"/>
        <v>-0.75612101753764183</v>
      </c>
      <c r="AD247" s="24">
        <f t="shared" si="142"/>
        <v>0.89828694406637988</v>
      </c>
      <c r="AE247" s="24">
        <f t="shared" si="142"/>
        <v>0.85073954942670948</v>
      </c>
    </row>
    <row r="248" spans="4:31" x14ac:dyDescent="0.2">
      <c r="D248" s="19" t="s">
        <v>181</v>
      </c>
      <c r="G248" s="24">
        <f t="shared" ref="G248:V248" si="143">IFERROR(G242/G37,"")</f>
        <v>-9.2519480519473696</v>
      </c>
      <c r="H248" s="24">
        <f t="shared" si="143"/>
        <v>1.4122854807954233</v>
      </c>
      <c r="I248" s="24">
        <f t="shared" si="143"/>
        <v>-0.73309191063959855</v>
      </c>
      <c r="J248" s="24">
        <f t="shared" si="143"/>
        <v>-2.3604606229229455</v>
      </c>
      <c r="K248" s="24">
        <f t="shared" si="143"/>
        <v>-2.5195586629932046E-2</v>
      </c>
      <c r="L248" s="24">
        <f t="shared" si="143"/>
        <v>-0.25163553963670954</v>
      </c>
      <c r="M248" s="24">
        <f t="shared" si="143"/>
        <v>-0.3923219510016292</v>
      </c>
      <c r="N248" s="24">
        <f t="shared" si="143"/>
        <v>1.4970630050882971</v>
      </c>
      <c r="O248" s="24">
        <f t="shared" si="143"/>
        <v>2.4661275491521533</v>
      </c>
      <c r="P248" s="24">
        <f t="shared" si="143"/>
        <v>1.8421035237322072</v>
      </c>
      <c r="Q248" s="24">
        <f t="shared" si="143"/>
        <v>1.3889238431793225</v>
      </c>
      <c r="R248" s="24">
        <f t="shared" si="143"/>
        <v>1.3290584205416345</v>
      </c>
      <c r="S248" s="24">
        <f t="shared" si="143"/>
        <v>1.6119036455754299</v>
      </c>
      <c r="T248" s="24">
        <f t="shared" si="143"/>
        <v>1.3657876585467181</v>
      </c>
      <c r="U248" s="24">
        <f t="shared" si="143"/>
        <v>1.158645650983205</v>
      </c>
      <c r="V248" s="24">
        <f t="shared" si="143"/>
        <v>1.0769519066418496</v>
      </c>
      <c r="X248" s="24">
        <f t="shared" ref="X248:AE248" si="144">IFERROR(X242/X37,"")</f>
        <v>0.90751567405832623</v>
      </c>
      <c r="Y248" s="24">
        <f t="shared" si="144"/>
        <v>-1.9598721590909283</v>
      </c>
      <c r="Z248" s="24">
        <f t="shared" si="144"/>
        <v>-2.3823291772944139E-2</v>
      </c>
      <c r="AA248" s="24">
        <f t="shared" si="144"/>
        <v>1.6039624338937106</v>
      </c>
      <c r="AB248" s="24">
        <f t="shared" si="144"/>
        <v>1.2660385438389739</v>
      </c>
      <c r="AC248" s="24">
        <f t="shared" si="144"/>
        <v>-0.84843792130712359</v>
      </c>
      <c r="AD248" s="24">
        <f t="shared" si="144"/>
        <v>0.82261378005456054</v>
      </c>
      <c r="AE248" s="24">
        <f t="shared" si="144"/>
        <v>0.78230066504181062</v>
      </c>
    </row>
    <row r="250" spans="4:31" x14ac:dyDescent="0.2">
      <c r="D250" s="26" t="s">
        <v>182</v>
      </c>
      <c r="G250" s="24">
        <f t="shared" ref="G250:V250" si="145">IFERROR(G186/G10,"")</f>
        <v>1.6706835253270311E-2</v>
      </c>
      <c r="H250" s="24">
        <f t="shared" si="145"/>
        <v>2.4021561093319998E-2</v>
      </c>
      <c r="I250" s="24">
        <f t="shared" si="145"/>
        <v>1.7080797622955651E-2</v>
      </c>
      <c r="J250" s="24">
        <f t="shared" si="145"/>
        <v>1.6763567385839642E-2</v>
      </c>
      <c r="K250" s="24">
        <f t="shared" si="145"/>
        <v>1.7232769540413786</v>
      </c>
      <c r="L250" s="24">
        <f t="shared" si="145"/>
        <v>0.15593751092418112</v>
      </c>
      <c r="M250" s="24">
        <f t="shared" si="145"/>
        <v>0.112851676342063</v>
      </c>
      <c r="N250" s="24">
        <f t="shared" si="145"/>
        <v>9.3687392548815474E-2</v>
      </c>
      <c r="O250" s="24">
        <f t="shared" si="145"/>
        <v>8.5000000000000006E-2</v>
      </c>
      <c r="P250" s="24">
        <f t="shared" si="145"/>
        <v>0.08</v>
      </c>
      <c r="Q250" s="24">
        <f t="shared" si="145"/>
        <v>7.4999999999999997E-2</v>
      </c>
      <c r="R250" s="24">
        <f t="shared" si="145"/>
        <v>7.0000000000000007E-2</v>
      </c>
      <c r="S250" s="24">
        <f t="shared" si="145"/>
        <v>6.5000000000000002E-2</v>
      </c>
      <c r="T250" s="24">
        <f t="shared" si="145"/>
        <v>0.06</v>
      </c>
      <c r="U250" s="24">
        <f t="shared" si="145"/>
        <v>5.4999999999999993E-2</v>
      </c>
      <c r="V250" s="24">
        <f t="shared" si="145"/>
        <v>0.05</v>
      </c>
      <c r="X250" s="24">
        <f t="shared" ref="X250:AE250" si="146">IFERROR(X186/X10,"")</f>
        <v>2.0364424246453728E-2</v>
      </c>
      <c r="Y250" s="24">
        <f t="shared" si="146"/>
        <v>1.7836343110402452E-2</v>
      </c>
      <c r="Z250" s="24">
        <f t="shared" si="146"/>
        <v>0.48971679691965775</v>
      </c>
      <c r="AA250" s="24">
        <f t="shared" si="146"/>
        <v>7.7128433785306247E-2</v>
      </c>
      <c r="AB250" s="24">
        <f t="shared" si="146"/>
        <v>5.7143138813943874E-2</v>
      </c>
      <c r="AC250" s="24">
        <f t="shared" si="146"/>
        <v>5.1999999999999998E-2</v>
      </c>
      <c r="AD250" s="24">
        <f t="shared" si="146"/>
        <v>4.2999999999999997E-2</v>
      </c>
      <c r="AE250" s="24">
        <f t="shared" si="146"/>
        <v>3.5000000000000003E-2</v>
      </c>
    </row>
    <row r="252" spans="4:31" x14ac:dyDescent="0.2">
      <c r="D252" s="13" t="s">
        <v>183</v>
      </c>
      <c r="G252" s="33">
        <f t="shared" ref="G252:V252" si="147">G211+G212</f>
        <v>-24.114000000000001</v>
      </c>
      <c r="H252" s="33">
        <f t="shared" si="147"/>
        <v>-61.430999999999926</v>
      </c>
      <c r="I252" s="33">
        <f t="shared" si="147"/>
        <v>-44.902000000000044</v>
      </c>
      <c r="J252" s="33">
        <f t="shared" si="147"/>
        <v>-22.20699999999988</v>
      </c>
      <c r="K252" s="33">
        <f t="shared" si="147"/>
        <v>-34.311000000000149</v>
      </c>
      <c r="L252" s="33">
        <f t="shared" si="147"/>
        <v>-12.661999999999807</v>
      </c>
      <c r="M252" s="33">
        <f t="shared" si="147"/>
        <v>21.958000000000084</v>
      </c>
      <c r="N252" s="33">
        <f t="shared" si="147"/>
        <v>-47.542999999999893</v>
      </c>
      <c r="O252" s="29">
        <f t="shared" si="147"/>
        <v>0.31556750000000022</v>
      </c>
      <c r="P252" s="29">
        <f t="shared" si="147"/>
        <v>-7.3197075000000069</v>
      </c>
      <c r="Q252" s="29">
        <f t="shared" si="147"/>
        <v>-12.430984999999993</v>
      </c>
      <c r="R252" s="29">
        <f t="shared" si="147"/>
        <v>-11.492679999999979</v>
      </c>
      <c r="S252" s="29">
        <f t="shared" si="147"/>
        <v>-0.66897000000000162</v>
      </c>
      <c r="T252" s="29">
        <f t="shared" si="147"/>
        <v>-4.8469050000000209</v>
      </c>
      <c r="U252" s="29">
        <f t="shared" si="147"/>
        <v>-10.525769999999966</v>
      </c>
      <c r="V252" s="29">
        <f t="shared" si="147"/>
        <v>-9.4131900000000428</v>
      </c>
      <c r="X252" s="33">
        <f t="shared" ref="X252:AE252" si="148">X211+X212</f>
        <v>0</v>
      </c>
      <c r="Y252" s="33">
        <f t="shared" si="148"/>
        <v>-130.44699999999989</v>
      </c>
      <c r="Z252" s="33">
        <f t="shared" si="148"/>
        <v>-47.221999999999753</v>
      </c>
      <c r="AA252" s="29">
        <f t="shared" si="148"/>
        <v>-30.927804999999978</v>
      </c>
      <c r="AB252" s="29">
        <f t="shared" si="148"/>
        <v>-25.454835000000031</v>
      </c>
      <c r="AC252" s="29">
        <f t="shared" si="148"/>
        <v>-506.25324000000001</v>
      </c>
      <c r="AD252" s="29">
        <f t="shared" si="148"/>
        <v>-104.11588874999973</v>
      </c>
      <c r="AE252" s="29">
        <f t="shared" si="148"/>
        <v>-136.52427075000026</v>
      </c>
    </row>
    <row r="259" spans="2:31" ht="16" x14ac:dyDescent="0.2">
      <c r="B259" s="46"/>
      <c r="C259" s="46"/>
      <c r="D259" s="46"/>
      <c r="E259" s="46"/>
      <c r="F259" s="46"/>
      <c r="G259" s="46"/>
      <c r="H259" s="46"/>
      <c r="I259" s="46"/>
      <c r="J259" s="46"/>
      <c r="K259" s="46"/>
      <c r="L259" s="46"/>
      <c r="M259" s="46"/>
      <c r="N259" s="46"/>
      <c r="O259" s="46"/>
      <c r="P259" s="46"/>
      <c r="Q259" s="46"/>
      <c r="R259" s="46"/>
      <c r="S259" s="46"/>
      <c r="T259" s="46"/>
      <c r="U259" s="46"/>
      <c r="V259" s="46"/>
      <c r="X259" s="46"/>
      <c r="Y259" s="46"/>
      <c r="Z259" s="46"/>
      <c r="AA259" s="46"/>
      <c r="AB259" s="46"/>
      <c r="AC259" s="46"/>
      <c r="AD259" s="46"/>
      <c r="AE259" s="46"/>
    </row>
    <row r="261" spans="2:31" x14ac:dyDescent="0.2">
      <c r="C261" s="19"/>
      <c r="G261" s="38"/>
      <c r="H261" s="38"/>
      <c r="I261" s="38"/>
      <c r="J261" s="38"/>
      <c r="K261" s="38"/>
      <c r="L261" s="38"/>
      <c r="M261" s="38"/>
      <c r="N261" s="38"/>
      <c r="O261" s="38"/>
      <c r="P261" s="38"/>
      <c r="Q261" s="38"/>
      <c r="R261" s="38"/>
      <c r="S261" s="38"/>
      <c r="T261" s="38"/>
      <c r="U261" s="38"/>
      <c r="V261" s="38"/>
      <c r="Y261" s="38"/>
      <c r="Z261" s="38"/>
      <c r="AA261" s="38"/>
      <c r="AB261" s="38"/>
      <c r="AC261" s="38"/>
      <c r="AD261" s="38"/>
      <c r="AE261" s="38"/>
    </row>
    <row r="262" spans="2:31" x14ac:dyDescent="0.2">
      <c r="D262" s="9"/>
      <c r="O262" s="24"/>
      <c r="P262" s="24"/>
      <c r="Q262" s="24"/>
      <c r="R262" s="24"/>
      <c r="S262" s="24"/>
      <c r="T262" s="24"/>
      <c r="U262" s="24"/>
      <c r="V262" s="24"/>
      <c r="AA262" s="24"/>
      <c r="AB262" s="24"/>
      <c r="AC262" s="24"/>
      <c r="AD262" s="24"/>
      <c r="AE262" s="24"/>
    </row>
    <row r="264" spans="2:31" x14ac:dyDescent="0.2">
      <c r="C264" s="19"/>
      <c r="G264" s="39"/>
      <c r="H264" s="39"/>
      <c r="I264" s="39"/>
      <c r="J264" s="39"/>
      <c r="K264" s="39"/>
      <c r="L264" s="39"/>
      <c r="M264" s="39"/>
      <c r="N264" s="39"/>
      <c r="O264" s="40"/>
      <c r="P264" s="40"/>
      <c r="Q264" s="40"/>
      <c r="R264" s="40"/>
      <c r="S264" s="40"/>
      <c r="T264" s="40"/>
      <c r="U264" s="40"/>
      <c r="V264" s="40"/>
      <c r="Y264" s="39"/>
      <c r="Z264" s="39"/>
      <c r="AA264" s="40"/>
      <c r="AB264" s="40"/>
      <c r="AC264" s="40"/>
      <c r="AD264" s="40"/>
      <c r="AE264" s="40"/>
    </row>
    <row r="266" spans="2:31" x14ac:dyDescent="0.2">
      <c r="C266" s="19"/>
      <c r="G266" s="41"/>
      <c r="H266" s="41"/>
      <c r="I266" s="41"/>
      <c r="J266" s="41"/>
      <c r="K266" s="41"/>
      <c r="L266" s="41"/>
      <c r="M266" s="41"/>
      <c r="N266" s="41"/>
      <c r="O266" s="42"/>
      <c r="P266" s="42"/>
      <c r="Q266" s="42"/>
      <c r="R266" s="42"/>
      <c r="S266" s="42"/>
      <c r="T266" s="42"/>
      <c r="U266" s="42"/>
      <c r="V266" s="42"/>
      <c r="Y266" s="41"/>
      <c r="Z266" s="41"/>
      <c r="AA266" s="42"/>
      <c r="AB266" s="42"/>
      <c r="AC266" s="42"/>
      <c r="AD266" s="42"/>
      <c r="AE266" s="42"/>
    </row>
    <row r="268" spans="2:31" x14ac:dyDescent="0.2">
      <c r="C268" s="19"/>
      <c r="G268" s="43"/>
      <c r="H268" s="43"/>
      <c r="I268" s="43"/>
      <c r="J268" s="43"/>
      <c r="K268" s="43"/>
      <c r="L268" s="43"/>
      <c r="M268" s="43"/>
      <c r="N268" s="43"/>
      <c r="O268" s="44"/>
      <c r="P268" s="44"/>
      <c r="Q268" s="44"/>
      <c r="R268" s="44"/>
      <c r="S268" s="44"/>
      <c r="T268" s="44"/>
      <c r="U268" s="44"/>
      <c r="V268" s="44"/>
      <c r="Y268" s="43"/>
      <c r="Z268" s="43"/>
      <c r="AA268" s="44"/>
      <c r="AB268" s="44"/>
      <c r="AC268" s="44"/>
      <c r="AD268" s="44"/>
      <c r="AE268" s="44"/>
    </row>
    <row r="270" spans="2:31" x14ac:dyDescent="0.2">
      <c r="C270" s="19"/>
      <c r="G270" s="29"/>
      <c r="H270" s="29"/>
      <c r="I270" s="29"/>
      <c r="J270" s="29"/>
      <c r="K270" s="29"/>
      <c r="L270" s="29"/>
      <c r="M270" s="29"/>
      <c r="N270" s="29"/>
      <c r="O270" s="29"/>
      <c r="P270" s="29"/>
      <c r="Q270" s="29"/>
      <c r="R270" s="29"/>
      <c r="S270" s="29"/>
      <c r="T270" s="29"/>
      <c r="U270" s="29"/>
      <c r="V270" s="29"/>
      <c r="X270" s="29"/>
      <c r="Y270" s="29"/>
      <c r="Z270" s="29"/>
      <c r="AA270" s="29"/>
      <c r="AB270" s="29"/>
      <c r="AC270" s="29"/>
      <c r="AD270" s="29"/>
      <c r="AE270" s="29"/>
    </row>
    <row r="272" spans="2:31" x14ac:dyDescent="0.2">
      <c r="C272" s="19"/>
      <c r="G272" s="39"/>
      <c r="H272" s="39"/>
      <c r="I272" s="39"/>
      <c r="J272" s="39"/>
      <c r="K272" s="39"/>
      <c r="L272" s="39"/>
      <c r="M272" s="39"/>
      <c r="N272" s="39"/>
      <c r="O272" s="39"/>
      <c r="P272" s="39"/>
      <c r="Q272" s="39"/>
      <c r="R272" s="39"/>
      <c r="S272" s="39"/>
      <c r="T272" s="39"/>
      <c r="U272" s="39"/>
      <c r="V272" s="39"/>
      <c r="X272" s="39"/>
      <c r="Y272" s="39"/>
      <c r="Z272" s="39"/>
      <c r="AA272" s="39"/>
      <c r="AB272" s="39"/>
      <c r="AC272" s="39"/>
      <c r="AD272" s="39"/>
      <c r="AE272" s="39"/>
    </row>
    <row r="273" spans="2:31" x14ac:dyDescent="0.2">
      <c r="D273" s="9"/>
      <c r="O273" s="24"/>
      <c r="P273" s="24"/>
      <c r="Q273" s="24"/>
      <c r="R273" s="24"/>
      <c r="S273" s="24"/>
      <c r="T273" s="24"/>
      <c r="U273" s="24"/>
      <c r="V273" s="24"/>
      <c r="AA273" s="24"/>
      <c r="AB273" s="24"/>
      <c r="AC273" s="24"/>
      <c r="AD273" s="24"/>
      <c r="AE273" s="24"/>
    </row>
    <row r="275" spans="2:31" x14ac:dyDescent="0.2">
      <c r="C275" s="19"/>
      <c r="G275" s="45"/>
      <c r="H275" s="45"/>
      <c r="I275" s="45"/>
      <c r="J275" s="45"/>
      <c r="K275" s="45"/>
      <c r="L275" s="45"/>
      <c r="M275" s="45"/>
      <c r="N275" s="45"/>
      <c r="O275" s="45"/>
      <c r="P275" s="45"/>
      <c r="Q275" s="45"/>
      <c r="R275" s="45"/>
      <c r="S275" s="45"/>
      <c r="T275" s="45"/>
      <c r="U275" s="45"/>
      <c r="V275" s="45"/>
      <c r="Y275" s="45"/>
      <c r="Z275" s="45"/>
      <c r="AA275" s="45"/>
      <c r="AB275" s="45"/>
      <c r="AC275" s="45"/>
      <c r="AD275" s="45"/>
      <c r="AE275" s="45"/>
    </row>
    <row r="279" spans="2:31" ht="16" x14ac:dyDescent="0.2">
      <c r="B279" s="46"/>
      <c r="C279" s="46"/>
      <c r="D279" s="46"/>
      <c r="E279" s="46"/>
      <c r="F279" s="46"/>
      <c r="G279" s="46"/>
      <c r="H279" s="46"/>
      <c r="I279" s="46"/>
      <c r="J279" s="46"/>
      <c r="K279" s="46"/>
      <c r="L279" s="46"/>
      <c r="M279" s="46"/>
      <c r="N279" s="46"/>
      <c r="O279" s="46"/>
      <c r="P279" s="46"/>
      <c r="Q279" s="46"/>
      <c r="R279" s="46"/>
      <c r="S279" s="46"/>
      <c r="T279" s="46"/>
      <c r="U279" s="46"/>
      <c r="V279" s="46"/>
      <c r="X279" s="46"/>
      <c r="Y279" s="46"/>
      <c r="Z279" s="46"/>
      <c r="AA279" s="46"/>
      <c r="AB279" s="46"/>
      <c r="AC279" s="46"/>
      <c r="AD279" s="46"/>
      <c r="AE279" s="46"/>
    </row>
    <row r="281" spans="2:31" x14ac:dyDescent="0.2">
      <c r="C281" s="19"/>
      <c r="J281" s="24"/>
      <c r="K281" s="24"/>
      <c r="L281" s="24"/>
      <c r="M281" s="24"/>
      <c r="N281" s="24"/>
      <c r="O281" s="7"/>
      <c r="P281" s="7"/>
      <c r="Q281" s="7"/>
      <c r="R281" s="7"/>
      <c r="S281" s="7"/>
      <c r="T281" s="7"/>
      <c r="U281" s="7"/>
      <c r="V281" s="7"/>
      <c r="AA281" s="7"/>
      <c r="AB281" s="7"/>
      <c r="AC281" s="7"/>
      <c r="AD281" s="7"/>
      <c r="AE281" s="7"/>
    </row>
    <row r="282" spans="2:31" x14ac:dyDescent="0.2">
      <c r="C282" s="19"/>
      <c r="J282" s="24"/>
      <c r="K282" s="24"/>
      <c r="L282" s="24"/>
      <c r="M282" s="24"/>
      <c r="N282" s="24"/>
      <c r="O282" s="7"/>
      <c r="P282" s="7"/>
      <c r="Q282" s="7"/>
      <c r="R282" s="7"/>
      <c r="S282" s="7"/>
      <c r="T282" s="7"/>
      <c r="U282" s="7"/>
      <c r="V282" s="7"/>
      <c r="AA282" s="7"/>
      <c r="AB282" s="7"/>
      <c r="AC282" s="7"/>
      <c r="AD282" s="7"/>
      <c r="AE282" s="7"/>
    </row>
    <row r="283" spans="2:31" x14ac:dyDescent="0.2">
      <c r="C283" s="19"/>
      <c r="J283" s="24"/>
      <c r="K283" s="24"/>
      <c r="L283" s="24"/>
      <c r="M283" s="24"/>
      <c r="N283" s="24"/>
      <c r="O283" s="7"/>
      <c r="P283" s="7"/>
      <c r="Q283" s="7"/>
      <c r="R283" s="7"/>
      <c r="S283" s="7"/>
      <c r="T283" s="7"/>
      <c r="U283" s="7"/>
      <c r="V283" s="7"/>
      <c r="AA283" s="7"/>
      <c r="AB283" s="7"/>
      <c r="AC283" s="7"/>
      <c r="AD283" s="7"/>
      <c r="AE283" s="7"/>
    </row>
    <row r="284" spans="2:31" x14ac:dyDescent="0.2">
      <c r="C284" s="19"/>
      <c r="J284" s="24"/>
      <c r="K284" s="24"/>
      <c r="L284" s="24"/>
      <c r="M284" s="24"/>
      <c r="N284" s="24"/>
      <c r="O284" s="7"/>
      <c r="P284" s="7"/>
      <c r="Q284" s="7"/>
      <c r="R284" s="7"/>
      <c r="S284" s="7"/>
      <c r="T284" s="7"/>
      <c r="U284" s="7"/>
      <c r="V284" s="7"/>
      <c r="AA284" s="7"/>
      <c r="AB284" s="7"/>
      <c r="AC284" s="7"/>
      <c r="AD284" s="7"/>
      <c r="AE284" s="7"/>
    </row>
    <row r="285" spans="2:31" x14ac:dyDescent="0.2">
      <c r="C285" s="19"/>
      <c r="J285" s="24"/>
      <c r="K285" s="24"/>
      <c r="L285" s="24"/>
      <c r="M285" s="24"/>
      <c r="N285" s="24"/>
      <c r="O285" s="7"/>
      <c r="P285" s="7"/>
      <c r="Q285" s="7"/>
      <c r="R285" s="7"/>
      <c r="S285" s="7"/>
      <c r="T285" s="7"/>
      <c r="U285" s="7"/>
      <c r="V285" s="7"/>
      <c r="AA285" s="7"/>
      <c r="AB285" s="7"/>
      <c r="AC285" s="7"/>
      <c r="AD285" s="7"/>
      <c r="AE285" s="7"/>
    </row>
    <row r="286" spans="2:31" x14ac:dyDescent="0.2">
      <c r="C286" s="19"/>
      <c r="J286" s="24"/>
      <c r="K286" s="24"/>
      <c r="L286" s="24"/>
      <c r="M286" s="24"/>
      <c r="N286" s="24"/>
      <c r="O286" s="7"/>
      <c r="P286" s="7"/>
      <c r="Q286" s="7"/>
      <c r="R286" s="7"/>
      <c r="S286" s="7"/>
      <c r="T286" s="7"/>
      <c r="U286" s="7"/>
      <c r="V286" s="7"/>
      <c r="AA286" s="7"/>
      <c r="AB286" s="7"/>
      <c r="AC286" s="7"/>
      <c r="AD286" s="7"/>
      <c r="AE286" s="7"/>
    </row>
    <row r="287" spans="2:31" x14ac:dyDescent="0.2">
      <c r="C287" s="19"/>
      <c r="J287" s="24"/>
      <c r="K287" s="24"/>
      <c r="L287" s="24"/>
      <c r="M287" s="24"/>
      <c r="N287" s="24"/>
      <c r="O287" s="7"/>
      <c r="P287" s="7"/>
      <c r="Q287" s="7"/>
      <c r="R287" s="7"/>
      <c r="S287" s="7"/>
      <c r="T287" s="7"/>
      <c r="U287" s="7"/>
      <c r="V287" s="7"/>
      <c r="AA287" s="7"/>
      <c r="AB287" s="7"/>
      <c r="AC287" s="7"/>
      <c r="AD287" s="7"/>
      <c r="AE287" s="7"/>
    </row>
    <row r="288" spans="2:31" x14ac:dyDescent="0.2">
      <c r="C288" s="19"/>
      <c r="J288" s="24"/>
      <c r="K288" s="24"/>
      <c r="L288" s="24"/>
      <c r="M288" s="24"/>
      <c r="N288" s="24"/>
      <c r="O288" s="7"/>
      <c r="P288" s="7"/>
      <c r="Q288" s="7"/>
      <c r="R288" s="7"/>
      <c r="S288" s="7"/>
      <c r="T288" s="7"/>
      <c r="U288" s="7"/>
      <c r="V288" s="7"/>
      <c r="AA288" s="7"/>
      <c r="AB288" s="7"/>
      <c r="AC288" s="7"/>
      <c r="AD288" s="7"/>
      <c r="AE288" s="7"/>
    </row>
    <row r="289" spans="3:31" x14ac:dyDescent="0.2">
      <c r="C289" s="19"/>
      <c r="G289" s="24"/>
      <c r="H289" s="24"/>
      <c r="I289" s="24"/>
      <c r="J289" s="24"/>
      <c r="K289" s="24"/>
      <c r="L289" s="24"/>
      <c r="M289" s="24"/>
      <c r="N289" s="24"/>
      <c r="O289" s="7"/>
      <c r="P289" s="7"/>
      <c r="Q289" s="7"/>
      <c r="R289" s="7"/>
      <c r="S289" s="7"/>
      <c r="T289" s="7"/>
      <c r="U289" s="7"/>
      <c r="V289" s="7"/>
      <c r="AA289" s="7"/>
      <c r="AB289" s="7"/>
      <c r="AC289" s="7"/>
      <c r="AD289" s="7"/>
      <c r="AE289" s="7"/>
    </row>
    <row r="290" spans="3:31" x14ac:dyDescent="0.2">
      <c r="C290" s="19"/>
      <c r="G290" s="24"/>
      <c r="H290" s="24"/>
      <c r="I290" s="24"/>
      <c r="J290" s="24"/>
      <c r="K290" s="24"/>
      <c r="L290" s="24"/>
      <c r="M290" s="24"/>
      <c r="N290" s="24"/>
      <c r="O290" s="7"/>
      <c r="P290" s="7"/>
      <c r="Q290" s="7"/>
      <c r="R290" s="7"/>
      <c r="S290" s="7"/>
      <c r="T290" s="7"/>
      <c r="U290" s="7"/>
      <c r="V290" s="7"/>
      <c r="AA290" s="7"/>
      <c r="AB290" s="7"/>
      <c r="AC290" s="7"/>
      <c r="AD290" s="7"/>
      <c r="AE290" s="7"/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808080"/>
  </sheetPr>
  <dimension ref="B1:Z33"/>
  <sheetViews>
    <sheetView showGridLines="0" zoomScale="85" workbookViewId="0"/>
  </sheetViews>
  <sheetFormatPr baseColWidth="10" defaultColWidth="8.83203125" defaultRowHeight="15" x14ac:dyDescent="0.2"/>
  <cols>
    <col min="1" max="1" width="1.6640625" customWidth="1"/>
    <col min="2" max="2" width="2.33203125" customWidth="1"/>
    <col min="3" max="3" width="35" customWidth="1"/>
    <col min="4" max="4" width="1.6640625" customWidth="1"/>
  </cols>
  <sheetData>
    <row r="1" spans="2:26" ht="16" x14ac:dyDescent="0.2">
      <c r="B1" s="8" t="s">
        <v>184</v>
      </c>
    </row>
    <row r="2" spans="2:26" x14ac:dyDescent="0.2">
      <c r="B2" s="9" t="s">
        <v>185</v>
      </c>
    </row>
    <row r="5" spans="2:26" x14ac:dyDescent="0.2">
      <c r="G5" s="2" t="s">
        <v>6</v>
      </c>
      <c r="H5" s="2" t="s">
        <v>7</v>
      </c>
      <c r="I5" s="2" t="s">
        <v>8</v>
      </c>
      <c r="J5" s="2" t="s">
        <v>9</v>
      </c>
      <c r="K5" s="2" t="s">
        <v>10</v>
      </c>
      <c r="L5" s="2" t="s">
        <v>11</v>
      </c>
      <c r="M5" s="2" t="s">
        <v>12</v>
      </c>
      <c r="N5" s="2" t="s">
        <v>13</v>
      </c>
      <c r="X5" s="2">
        <v>2023</v>
      </c>
      <c r="Y5" s="2">
        <v>2024</v>
      </c>
      <c r="Z5" s="2">
        <v>2025</v>
      </c>
    </row>
    <row r="6" spans="2:26" x14ac:dyDescent="0.2">
      <c r="G6" s="5">
        <v>45473</v>
      </c>
      <c r="H6" s="5">
        <v>45565</v>
      </c>
      <c r="I6" s="5">
        <v>45657</v>
      </c>
      <c r="J6" s="5">
        <v>45747</v>
      </c>
      <c r="K6" s="5">
        <v>45838</v>
      </c>
      <c r="L6" s="5">
        <v>45930</v>
      </c>
      <c r="M6" s="5">
        <v>46022</v>
      </c>
      <c r="N6" s="5">
        <v>46112</v>
      </c>
      <c r="X6" s="5">
        <v>45291</v>
      </c>
      <c r="Y6" s="5">
        <v>45657</v>
      </c>
      <c r="Z6" s="5">
        <v>46022</v>
      </c>
    </row>
    <row r="9" spans="2:26" x14ac:dyDescent="0.2">
      <c r="B9" s="2" t="s">
        <v>186</v>
      </c>
      <c r="G9" s="10">
        <v>333.71</v>
      </c>
      <c r="H9" s="10">
        <v>368.35500000000002</v>
      </c>
      <c r="I9" s="10">
        <v>419.16800000000001</v>
      </c>
      <c r="J9" s="10">
        <v>458.32600000000002</v>
      </c>
      <c r="K9" s="10">
        <v>461.029</v>
      </c>
      <c r="L9" s="10">
        <v>474.11799999999999</v>
      </c>
      <c r="M9" s="10">
        <v>530.25</v>
      </c>
      <c r="N9" s="10">
        <v>580.31299999999999</v>
      </c>
      <c r="X9" s="10">
        <v>1058.7180000000001</v>
      </c>
      <c r="Y9" s="10">
        <v>1465.758</v>
      </c>
      <c r="Z9" s="10">
        <v>1923.723</v>
      </c>
    </row>
    <row r="10" spans="2:26" x14ac:dyDescent="0.2">
      <c r="B10" s="2" t="s">
        <v>187</v>
      </c>
      <c r="G10" s="10">
        <v>-343.15100000000001</v>
      </c>
      <c r="H10" s="10">
        <v>-398.99900000000002</v>
      </c>
      <c r="I10" s="10">
        <v>-446.31400000000002</v>
      </c>
      <c r="J10" s="10">
        <v>-449.18900000000002</v>
      </c>
      <c r="K10" s="10">
        <v>-1391.6669999999999</v>
      </c>
      <c r="L10" s="10">
        <v>-538.82799999999997</v>
      </c>
      <c r="M10" s="10">
        <v>-584.01800000000003</v>
      </c>
      <c r="N10" s="10">
        <v>-534.15</v>
      </c>
      <c r="X10" s="10">
        <v>-1294.5029999999999</v>
      </c>
      <c r="Y10" s="10">
        <v>-1527.9570000000001</v>
      </c>
      <c r="Z10" s="10">
        <v>-2963.7020000000002</v>
      </c>
    </row>
    <row r="11" spans="2:26" x14ac:dyDescent="0.2">
      <c r="B11" s="2" t="s">
        <v>188</v>
      </c>
      <c r="G11" s="10">
        <v>-9.4410000000000007</v>
      </c>
      <c r="H11" s="10">
        <v>-30.643999999999998</v>
      </c>
      <c r="I11" s="10">
        <v>-27.146000000000001</v>
      </c>
      <c r="J11" s="10">
        <v>9.1370000000000005</v>
      </c>
      <c r="K11" s="10">
        <v>-930.63800000000003</v>
      </c>
      <c r="L11" s="10">
        <v>-64.709999999999994</v>
      </c>
      <c r="M11" s="10">
        <v>-53.768000000000001</v>
      </c>
      <c r="N11" s="10">
        <v>46.162999999999997</v>
      </c>
      <c r="X11" s="10">
        <v>-235.785</v>
      </c>
      <c r="Y11" s="10">
        <v>-62.198999999999998</v>
      </c>
      <c r="Z11" s="10">
        <v>-1039.979</v>
      </c>
    </row>
    <row r="12" spans="2:26" x14ac:dyDescent="0.2">
      <c r="B12" s="2" t="s">
        <v>189</v>
      </c>
      <c r="G12" s="10">
        <v>0.46300000000000002</v>
      </c>
      <c r="H12" s="10">
        <v>-19.827000000000002</v>
      </c>
      <c r="I12" s="10">
        <v>-18.911000000000001</v>
      </c>
      <c r="J12" s="10">
        <v>14.491</v>
      </c>
      <c r="K12" s="10">
        <v>-924.423</v>
      </c>
      <c r="L12" s="10">
        <v>-54.442</v>
      </c>
      <c r="M12" s="10">
        <v>-44.731000000000002</v>
      </c>
      <c r="N12" s="10">
        <v>53.911000000000001</v>
      </c>
      <c r="X12" s="10">
        <v>-202.96799999999999</v>
      </c>
      <c r="Y12" s="10">
        <v>-22.734000000000002</v>
      </c>
      <c r="Z12" s="10">
        <v>-1009.105</v>
      </c>
    </row>
    <row r="13" spans="2:26" x14ac:dyDescent="0.2">
      <c r="B13" s="2" t="s">
        <v>190</v>
      </c>
      <c r="G13" s="10">
        <v>0.38500000000000001</v>
      </c>
      <c r="H13" s="10">
        <v>-22.026</v>
      </c>
      <c r="I13" s="10">
        <v>-19.606000000000002</v>
      </c>
      <c r="J13" s="10">
        <v>12.939</v>
      </c>
      <c r="K13" s="10">
        <v>-923.37599999999998</v>
      </c>
      <c r="L13" s="10">
        <v>-54.722000000000001</v>
      </c>
      <c r="M13" s="10">
        <v>-44.777000000000001</v>
      </c>
      <c r="N13" s="10">
        <v>53.456000000000003</v>
      </c>
      <c r="X13" s="10">
        <v>-203.202</v>
      </c>
      <c r="Y13" s="10">
        <v>-25.344000000000001</v>
      </c>
      <c r="Z13" s="10">
        <v>-1009.936</v>
      </c>
    </row>
    <row r="19" spans="2:26" x14ac:dyDescent="0.2">
      <c r="B19" s="2" t="s">
        <v>191</v>
      </c>
      <c r="G19" s="11"/>
      <c r="H19" s="11"/>
      <c r="I19" s="11"/>
      <c r="J19" s="10">
        <v>1265.83</v>
      </c>
      <c r="K19" s="10">
        <v>1736.079</v>
      </c>
      <c r="L19" s="10">
        <v>1758.8969999999999</v>
      </c>
      <c r="M19" s="10">
        <v>1756.01</v>
      </c>
      <c r="N19" s="10">
        <v>1744.261</v>
      </c>
      <c r="X19" s="11"/>
      <c r="Y19" s="10">
        <v>1287.0360000000001</v>
      </c>
      <c r="Z19" s="10">
        <v>1756.01</v>
      </c>
    </row>
    <row r="20" spans="2:26" x14ac:dyDescent="0.2">
      <c r="B20" s="2" t="s">
        <v>192</v>
      </c>
      <c r="G20" s="11"/>
      <c r="H20" s="11"/>
      <c r="I20" s="11"/>
      <c r="J20" s="10">
        <v>1435.999</v>
      </c>
      <c r="K20" s="10">
        <v>1902.4739999999999</v>
      </c>
      <c r="L20" s="10">
        <v>1962.3109999999999</v>
      </c>
      <c r="M20" s="10">
        <v>1964.605</v>
      </c>
      <c r="N20" s="10">
        <v>1950.383</v>
      </c>
      <c r="X20" s="11"/>
      <c r="Y20" s="10">
        <v>1461.037</v>
      </c>
      <c r="Z20" s="10">
        <v>1964.605</v>
      </c>
    </row>
    <row r="21" spans="2:26" x14ac:dyDescent="0.2">
      <c r="B21" s="2" t="s">
        <v>193</v>
      </c>
      <c r="G21" s="11"/>
      <c r="H21" s="11"/>
      <c r="I21" s="11"/>
      <c r="J21" s="10">
        <v>333.54500000000002</v>
      </c>
      <c r="K21" s="10">
        <v>359.69799999999998</v>
      </c>
      <c r="L21" s="10">
        <v>355.91500000000002</v>
      </c>
      <c r="M21" s="10">
        <v>387.92399999999998</v>
      </c>
      <c r="N21" s="10">
        <v>344.09899999999999</v>
      </c>
      <c r="X21" s="11"/>
      <c r="Y21" s="10">
        <v>374.81700000000001</v>
      </c>
      <c r="Z21" s="10">
        <v>387.92399999999998</v>
      </c>
    </row>
    <row r="22" spans="2:26" x14ac:dyDescent="0.2">
      <c r="B22" s="2" t="s">
        <v>194</v>
      </c>
      <c r="G22" s="11"/>
      <c r="H22" s="11"/>
      <c r="I22" s="11"/>
      <c r="J22" s="10">
        <v>453.98200000000003</v>
      </c>
      <c r="K22" s="10">
        <v>474.37599999999998</v>
      </c>
      <c r="L22" s="10">
        <v>519.03700000000003</v>
      </c>
      <c r="M22" s="10">
        <v>562.899</v>
      </c>
      <c r="N22" s="10">
        <v>508.94099999999997</v>
      </c>
      <c r="X22" s="11"/>
      <c r="Y22" s="10">
        <v>501.51600000000002</v>
      </c>
      <c r="Z22" s="10">
        <v>562.899</v>
      </c>
    </row>
    <row r="23" spans="2:26" x14ac:dyDescent="0.2">
      <c r="B23" s="2" t="s">
        <v>195</v>
      </c>
      <c r="G23" s="11"/>
      <c r="H23" s="11"/>
      <c r="I23" s="11"/>
      <c r="J23" s="10">
        <v>-1908.104</v>
      </c>
      <c r="K23" s="10">
        <v>1428.098</v>
      </c>
      <c r="L23" s="10">
        <v>1443.2739999999999</v>
      </c>
      <c r="M23" s="10">
        <v>1401.7059999999999</v>
      </c>
      <c r="N23" s="10">
        <v>1441.442</v>
      </c>
      <c r="X23" s="11"/>
      <c r="Y23" s="10">
        <v>-1930.6</v>
      </c>
      <c r="Z23" s="10">
        <v>1401.7059999999999</v>
      </c>
    </row>
    <row r="24" spans="2:26" x14ac:dyDescent="0.2">
      <c r="B24" s="2" t="s">
        <v>196</v>
      </c>
      <c r="G24" s="11"/>
      <c r="H24" s="11"/>
      <c r="I24" s="11"/>
      <c r="J24" s="10">
        <v>1435.999</v>
      </c>
      <c r="K24" s="10">
        <v>1902.4739999999999</v>
      </c>
      <c r="L24" s="10">
        <v>1962.3109999999999</v>
      </c>
      <c r="M24" s="10">
        <v>1964.605</v>
      </c>
      <c r="N24" s="10">
        <v>1950.383</v>
      </c>
      <c r="X24" s="11"/>
      <c r="Y24" s="10">
        <v>1461.037</v>
      </c>
      <c r="Z24" s="10">
        <v>1964.605</v>
      </c>
    </row>
    <row r="30" spans="2:26" x14ac:dyDescent="0.2">
      <c r="B30" s="2" t="s">
        <v>197</v>
      </c>
      <c r="G30" s="10">
        <v>-1.3220000000000001</v>
      </c>
      <c r="H30" s="10">
        <v>-24.928000000000001</v>
      </c>
      <c r="I30" s="10">
        <v>18.231000000000002</v>
      </c>
      <c r="J30" s="10">
        <v>-25.751000000000001</v>
      </c>
      <c r="K30" s="10">
        <v>28.494</v>
      </c>
      <c r="L30" s="10">
        <v>17.484000000000002</v>
      </c>
      <c r="M30" s="10">
        <v>32.552999999999997</v>
      </c>
      <c r="N30" s="10">
        <v>87.478999999999999</v>
      </c>
      <c r="X30" s="10">
        <v>-156.59399999999999</v>
      </c>
      <c r="Y30" s="10">
        <v>64.14</v>
      </c>
      <c r="Z30" s="10">
        <v>52.78</v>
      </c>
    </row>
    <row r="31" spans="2:26" x14ac:dyDescent="0.2">
      <c r="B31" s="2" t="s">
        <v>198</v>
      </c>
      <c r="G31" s="10">
        <v>0.48099999999999998</v>
      </c>
      <c r="H31" s="10">
        <v>0.38800000000000001</v>
      </c>
      <c r="I31" s="10">
        <v>50.445</v>
      </c>
      <c r="J31" s="10">
        <v>6.7009999999999996</v>
      </c>
      <c r="K31" s="10">
        <v>72.424999999999997</v>
      </c>
      <c r="L31" s="10">
        <v>-423.60899999999998</v>
      </c>
      <c r="M31" s="10">
        <v>54.795000000000002</v>
      </c>
      <c r="N31" s="10">
        <v>127.30500000000001</v>
      </c>
      <c r="X31" s="10">
        <v>167.012</v>
      </c>
      <c r="Y31" s="10">
        <v>45.658999999999999</v>
      </c>
      <c r="Z31" s="10">
        <v>-289.68799999999999</v>
      </c>
    </row>
    <row r="32" spans="2:26" x14ac:dyDescent="0.2">
      <c r="B32" s="2" t="s">
        <v>199</v>
      </c>
      <c r="G32" s="10">
        <v>-0.17199999999999999</v>
      </c>
      <c r="H32" s="10">
        <v>-0.05</v>
      </c>
      <c r="I32" s="10">
        <v>0.499</v>
      </c>
      <c r="J32" s="10">
        <v>-0.126</v>
      </c>
      <c r="K32" s="10">
        <v>450.05599999999998</v>
      </c>
      <c r="L32" s="10">
        <v>-16.972000000000001</v>
      </c>
      <c r="M32" s="10">
        <v>-65.290000000000006</v>
      </c>
      <c r="N32" s="10">
        <v>-73.356999999999999</v>
      </c>
      <c r="X32" s="10">
        <v>0.84199999999999997</v>
      </c>
      <c r="Y32" s="10">
        <v>0.45600000000000002</v>
      </c>
      <c r="Z32" s="10">
        <v>367.66800000000001</v>
      </c>
    </row>
    <row r="33" spans="2:26" x14ac:dyDescent="0.2">
      <c r="B33" s="2" t="s">
        <v>200</v>
      </c>
      <c r="G33" s="10">
        <v>-1.0129999999999999</v>
      </c>
      <c r="H33" s="10">
        <v>-24.59</v>
      </c>
      <c r="I33" s="10">
        <v>69.174999999999997</v>
      </c>
      <c r="J33" s="10">
        <v>-19.175999999999998</v>
      </c>
      <c r="K33" s="10">
        <v>550.97500000000002</v>
      </c>
      <c r="L33" s="10">
        <v>-423.09699999999998</v>
      </c>
      <c r="M33" s="10">
        <v>22.058</v>
      </c>
      <c r="N33" s="10">
        <v>141.42699999999999</v>
      </c>
      <c r="X33" s="10">
        <v>11.26</v>
      </c>
      <c r="Y33" s="10">
        <v>110.255</v>
      </c>
      <c r="Z33" s="10">
        <v>130.76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70C0"/>
  </sheetPr>
  <dimension ref="A3:F14"/>
  <sheetViews>
    <sheetView showGridLines="0" zoomScale="85" workbookViewId="0"/>
  </sheetViews>
  <sheetFormatPr baseColWidth="10" defaultColWidth="8.83203125" defaultRowHeight="15" x14ac:dyDescent="0.2"/>
  <cols>
    <col min="1" max="1" width="1.6640625" customWidth="1"/>
    <col min="2" max="2" width="2.33203125" customWidth="1"/>
    <col min="3" max="3" width="25" customWidth="1"/>
    <col min="4" max="4" width="1.6640625" customWidth="1"/>
    <col min="5" max="5" width="4" customWidth="1"/>
    <col min="6" max="6" width="35" customWidth="1"/>
  </cols>
  <sheetData>
    <row r="3" spans="1:6" x14ac:dyDescent="0.2">
      <c r="A3" s="1" t="s">
        <v>29</v>
      </c>
      <c r="B3" s="2" t="s">
        <v>201</v>
      </c>
      <c r="F3" s="3" t="s">
        <v>202</v>
      </c>
    </row>
    <row r="5" spans="1:6" x14ac:dyDescent="0.2">
      <c r="B5" t="s">
        <v>203</v>
      </c>
      <c r="F5" s="3" t="s">
        <v>204</v>
      </c>
    </row>
    <row r="7" spans="1:6" x14ac:dyDescent="0.2">
      <c r="B7" t="s">
        <v>205</v>
      </c>
      <c r="F7" s="4">
        <v>46022</v>
      </c>
    </row>
    <row r="9" spans="1:6" x14ac:dyDescent="0.2">
      <c r="B9" t="s">
        <v>206</v>
      </c>
      <c r="F9" s="5">
        <v>46167.441067118052</v>
      </c>
    </row>
    <row r="10" spans="1:6" x14ac:dyDescent="0.2">
      <c r="F10" s="6"/>
    </row>
    <row r="12" spans="1:6" x14ac:dyDescent="0.2">
      <c r="B12" t="s">
        <v>207</v>
      </c>
      <c r="F12" s="7">
        <v>0.2</v>
      </c>
    </row>
    <row r="14" spans="1:6" x14ac:dyDescent="0.2">
      <c r="A14" s="1" t="s">
        <v>29</v>
      </c>
      <c r="B14" s="2" t="s">
        <v>208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financials</vt:lpstr>
      <vt:lpstr>_reported</vt:lpstr>
      <vt:lpstr>inputs</vt:lpstr>
      <vt:lpstr>FYE</vt:lpstr>
      <vt:lpstr>Name</vt:lpstr>
      <vt:lpstr>Subheader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Scott Shiao</cp:lastModifiedBy>
  <dcterms:created xsi:type="dcterms:W3CDTF">2026-05-25T17:35:08Z</dcterms:created>
  <dcterms:modified xsi:type="dcterms:W3CDTF">2026-05-25T18:29:31Z</dcterms:modified>
</cp:coreProperties>
</file>