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0_);(#,##0.000)"/>
    <numFmt numFmtId="165" formatCode="#,##0.0%_);(#,##0.0%)"/>
  </numFmts>
  <fonts count="12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i val="1"/>
      <color rgb="0000AA00"/>
      <sz val="10"/>
    </font>
    <font>
      <name val="Calibri"/>
      <b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8" fillId="2" borderId="0" applyAlignment="1" pivotButton="0" quotePrefix="0" xfId="0">
      <alignment horizontal="centerContinuous"/>
    </xf>
    <xf numFmtId="5" fontId="9" fillId="0" borderId="0" pivotButton="0" quotePrefix="0" xfId="0"/>
    <xf numFmtId="0" fontId="5" fillId="0" borderId="0" pivotButton="0" quotePrefix="0" xfId="0"/>
    <xf numFmtId="5" fontId="2" fillId="0" borderId="1" pivotButton="0" quotePrefix="0" xfId="0"/>
    <xf numFmtId="164" fontId="10" fillId="0" borderId="0" pivotButton="0" quotePrefix="0" xfId="0"/>
    <xf numFmtId="7" fontId="9" fillId="0" borderId="0" pivotButton="0" quotePrefix="0" xfId="0"/>
    <xf numFmtId="37" fontId="9" fillId="0" borderId="0" pivotButton="0" quotePrefix="0" xfId="0"/>
    <xf numFmtId="0" fontId="8" fillId="3" borderId="0" applyAlignment="1" pivotButton="0" quotePrefix="0" xfId="0">
      <alignment horizontal="centerContinuous"/>
    </xf>
    <xf numFmtId="0" fontId="8" fillId="4" borderId="0" applyAlignment="1" pivotButton="0" quotePrefix="0" xfId="0">
      <alignment horizontal="centerContinuous"/>
    </xf>
    <xf numFmtId="5" fontId="5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5" fontId="0" fillId="0" borderId="0" pivotButton="0" quotePrefix="0" xfId="0"/>
    <xf numFmtId="5" fontId="11" fillId="0" borderId="1" pivotButton="0" quotePrefix="0" xfId="0"/>
    <xf numFmtId="164" fontId="10" fillId="0" borderId="0" pivotButton="0" quotePrefix="0" xfId="0"/>
    <xf numFmtId="7" fontId="5" fillId="0" borderId="0" pivotButton="0" quotePrefix="0" xfId="0"/>
    <xf numFmtId="37" fontId="5" fillId="0" borderId="0" pivotButton="0" quotePrefix="0" xfId="0"/>
    <xf numFmtId="165" fontId="5" fillId="0" borderId="0" pivotButton="0" quotePrefix="0" xfId="0"/>
    <xf numFmtId="165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E7C3F"/>
    <outlinePr summaryBelow="1" summaryRight="1"/>
    <pageSetUpPr/>
  </sheetPr>
  <dimension ref="B1:AR182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38" customWidth="1" min="2" max="2"/>
    <col width="38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3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11" customWidth="1" min="39" max="39"/>
    <col width="11" customWidth="1" min="40" max="40"/>
    <col width="11" customWidth="1" min="41" max="41"/>
    <col width="3" customWidth="1" min="42" max="42"/>
    <col width="11" customWidth="1" min="43" max="43"/>
    <col width="11" customWidth="1" min="44" max="44"/>
  </cols>
  <sheetData>
    <row r="1">
      <c r="B1" s="1" t="inlineStr">
        <is>
          <t>Intuit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INTU  |  FYE: 2025-07-31</t>
        </is>
      </c>
    </row>
    <row r="4">
      <c r="G4" s="4" t="n">
        <v>44773</v>
      </c>
      <c r="H4" s="4" t="n">
        <v>44865</v>
      </c>
      <c r="I4" s="4" t="n">
        <v>44957</v>
      </c>
      <c r="J4" s="4" t="n">
        <v>45046</v>
      </c>
      <c r="K4" s="4" t="n">
        <v>45138</v>
      </c>
      <c r="L4" s="4" t="n">
        <v>45230</v>
      </c>
      <c r="M4" s="4" t="n">
        <v>45322</v>
      </c>
      <c r="N4" s="4" t="n">
        <v>45412</v>
      </c>
      <c r="O4" s="4" t="n">
        <v>45504</v>
      </c>
      <c r="P4" s="4" t="n">
        <v>45596</v>
      </c>
      <c r="Q4" s="4" t="n">
        <v>45688</v>
      </c>
      <c r="R4" s="4" t="n">
        <v>45777</v>
      </c>
      <c r="S4" s="4" t="n">
        <v>45869</v>
      </c>
      <c r="T4" s="4" t="n">
        <v>45961</v>
      </c>
      <c r="U4" s="4" t="n">
        <v>46053</v>
      </c>
      <c r="V4" s="4" t="n">
        <v>46142</v>
      </c>
      <c r="W4" s="4" t="n">
        <v>46234</v>
      </c>
      <c r="X4" s="4" t="n">
        <v>46326</v>
      </c>
      <c r="Y4" s="4" t="n">
        <v>46418</v>
      </c>
      <c r="Z4" s="4" t="n">
        <v>46507</v>
      </c>
      <c r="AA4" s="4" t="n">
        <v>46599</v>
      </c>
      <c r="AB4" s="4" t="n">
        <v>46691</v>
      </c>
      <c r="AC4" s="4" t="n">
        <v>46783</v>
      </c>
      <c r="AD4" s="4" t="n">
        <v>46873</v>
      </c>
      <c r="AF4" s="4" t="n">
        <v>44408</v>
      </c>
      <c r="AG4" s="4" t="n">
        <v>44773</v>
      </c>
      <c r="AH4" s="4" t="n">
        <v>45138</v>
      </c>
      <c r="AI4" s="4" t="n">
        <v>45504</v>
      </c>
      <c r="AJ4" s="4" t="n">
        <v>45869</v>
      </c>
      <c r="AK4" s="4" t="n">
        <v>46234</v>
      </c>
      <c r="AL4" s="4" t="n">
        <v>46599</v>
      </c>
      <c r="AM4" s="4" t="n">
        <v>46965</v>
      </c>
      <c r="AN4" s="4" t="n">
        <v>47330</v>
      </c>
      <c r="AO4" s="4" t="n">
        <v>47695</v>
      </c>
    </row>
    <row r="5">
      <c r="G5" s="5" t="inlineStr">
        <is>
          <t>Q4 FY22</t>
        </is>
      </c>
      <c r="H5" s="5" t="inlineStr">
        <is>
          <t>Q1 FY23</t>
        </is>
      </c>
      <c r="I5" s="5" t="inlineStr">
        <is>
          <t>Q2 FY23</t>
        </is>
      </c>
      <c r="J5" s="5" t="inlineStr">
        <is>
          <t>Q3 FY23</t>
        </is>
      </c>
      <c r="K5" s="5" t="inlineStr">
        <is>
          <t>Q4 FY23</t>
        </is>
      </c>
      <c r="L5" s="5" t="inlineStr">
        <is>
          <t>Q1 FY24</t>
        </is>
      </c>
      <c r="M5" s="5" t="inlineStr">
        <is>
          <t>Q2 FY24</t>
        </is>
      </c>
      <c r="N5" s="5" t="inlineStr">
        <is>
          <t>Q3 FY24</t>
        </is>
      </c>
      <c r="O5" s="5" t="inlineStr">
        <is>
          <t>Q4 FY24</t>
        </is>
      </c>
      <c r="P5" s="5" t="inlineStr">
        <is>
          <t>Q1 FY25</t>
        </is>
      </c>
      <c r="Q5" s="5" t="inlineStr">
        <is>
          <t>Q2 FY25</t>
        </is>
      </c>
      <c r="R5" s="5" t="inlineStr">
        <is>
          <t>Q3 FY25</t>
        </is>
      </c>
      <c r="S5" s="5" t="inlineStr">
        <is>
          <t>Q4 FY25</t>
        </is>
      </c>
      <c r="T5" s="5" t="inlineStr">
        <is>
          <t>Q1 FY26</t>
        </is>
      </c>
      <c r="U5" s="5" t="inlineStr">
        <is>
          <t>Q2 FY26</t>
        </is>
      </c>
      <c r="V5" s="5" t="inlineStr">
        <is>
          <t>Q3 FY26</t>
        </is>
      </c>
      <c r="W5" s="5" t="inlineStr">
        <is>
          <t>Q4 FY26E</t>
        </is>
      </c>
      <c r="X5" s="5" t="inlineStr">
        <is>
          <t>Q1 FY27E</t>
        </is>
      </c>
      <c r="Y5" s="5" t="inlineStr">
        <is>
          <t>Q2 FY27E</t>
        </is>
      </c>
      <c r="Z5" s="5" t="inlineStr">
        <is>
          <t>Q3 FY27E</t>
        </is>
      </c>
      <c r="AA5" s="5" t="inlineStr">
        <is>
          <t>Q4 FY27E</t>
        </is>
      </c>
      <c r="AB5" s="5" t="inlineStr">
        <is>
          <t>Q1 FY28E</t>
        </is>
      </c>
      <c r="AC5" s="5" t="inlineStr">
        <is>
          <t>Q2 FY28E</t>
        </is>
      </c>
      <c r="AD5" s="5" t="inlineStr">
        <is>
          <t>Q3 FY28E</t>
        </is>
      </c>
      <c r="AF5" s="5" t="inlineStr">
        <is>
          <t>FY21</t>
        </is>
      </c>
      <c r="AG5" s="5" t="inlineStr">
        <is>
          <t>FY22</t>
        </is>
      </c>
      <c r="AH5" s="5" t="inlineStr">
        <is>
          <t>FY23</t>
        </is>
      </c>
      <c r="AI5" s="5" t="inlineStr">
        <is>
          <t>FY24</t>
        </is>
      </c>
      <c r="AJ5" s="5" t="inlineStr">
        <is>
          <t>FY25</t>
        </is>
      </c>
      <c r="AK5" s="5" t="inlineStr">
        <is>
          <t>FY26E</t>
        </is>
      </c>
      <c r="AL5" s="5" t="inlineStr">
        <is>
          <t>FY27E</t>
        </is>
      </c>
      <c r="AM5" s="5" t="inlineStr">
        <is>
          <t>FY28E</t>
        </is>
      </c>
      <c r="AN5" s="5" t="inlineStr">
        <is>
          <t>FY29E</t>
        </is>
      </c>
      <c r="AO5" s="5" t="inlineStr">
        <is>
          <t>FY30E</t>
        </is>
      </c>
      <c r="AQ5" s="6" t="inlineStr">
        <is>
          <t>CAGR</t>
        </is>
      </c>
      <c r="AR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F8" s="7" t="n"/>
      <c r="AG8" s="7" t="n"/>
      <c r="AH8" s="7" t="n"/>
      <c r="AI8" s="7" t="n"/>
      <c r="AJ8" s="7" t="n"/>
      <c r="AK8" s="7" t="n"/>
      <c r="AL8" s="7" t="n"/>
      <c r="AM8" s="7" t="n"/>
      <c r="AN8" s="7" t="n"/>
      <c r="AO8" s="7" t="n"/>
    </row>
    <row r="9"/>
    <row r="10">
      <c r="B10" s="6" t="inlineStr">
        <is>
          <t>Service Revenue</t>
        </is>
      </c>
      <c r="G10" s="8" t="n">
        <v>2143</v>
      </c>
      <c r="H10" s="8" t="n">
        <v>2170</v>
      </c>
      <c r="I10" s="8" t="n">
        <v>2434</v>
      </c>
      <c r="J10" s="8" t="n">
        <v>5435</v>
      </c>
      <c r="K10" s="8" t="n">
        <v>2359</v>
      </c>
      <c r="L10" s="8" t="n">
        <v>2450</v>
      </c>
      <c r="M10" s="8" t="n">
        <v>2693</v>
      </c>
      <c r="N10" s="8" t="n">
        <v>6048</v>
      </c>
      <c r="O10" s="8" t="n">
        <v>2670</v>
      </c>
      <c r="P10" s="8" t="n">
        <v>2889</v>
      </c>
      <c r="Q10" s="8" t="n">
        <v>3249</v>
      </c>
      <c r="R10" s="8" t="n">
        <v>6971</v>
      </c>
      <c r="S10" s="8" t="n">
        <v>3291</v>
      </c>
      <c r="T10" s="8" t="n">
        <v>3497</v>
      </c>
      <c r="U10" s="8" t="n">
        <v>3872</v>
      </c>
      <c r="V10" s="8" t="n">
        <v>7759</v>
      </c>
      <c r="W10" s="16">
        <f>W12*0.871</f>
        <v/>
      </c>
      <c r="X10" s="16">
        <f>X12*0.871</f>
        <v/>
      </c>
      <c r="Y10" s="16">
        <f>Y12*0.871</f>
        <v/>
      </c>
      <c r="Z10" s="16">
        <f>Z12*0.871</f>
        <v/>
      </c>
      <c r="AA10" s="16">
        <f>AA12*0.871</f>
        <v/>
      </c>
      <c r="AB10" s="16">
        <f>AB12*0.871</f>
        <v/>
      </c>
      <c r="AC10" s="16">
        <f>AC12*0.871</f>
        <v/>
      </c>
      <c r="AD10" s="16">
        <f>AD12*0.871</f>
        <v/>
      </c>
      <c r="AF10" s="8" t="n">
        <v>7935</v>
      </c>
      <c r="AG10" s="8" t="n">
        <v>10979</v>
      </c>
      <c r="AH10" s="8" t="n">
        <v>12398</v>
      </c>
      <c r="AI10" s="8" t="n">
        <v>13861</v>
      </c>
      <c r="AJ10" s="8" t="n">
        <v>16400</v>
      </c>
      <c r="AK10" s="16">
        <f>T10+U10+V10+W10</f>
        <v/>
      </c>
      <c r="AL10" s="16">
        <f>X10+Y10+Z10+AA10</f>
        <v/>
      </c>
      <c r="AM10" s="16">
        <f>AM12*0.871</f>
        <v/>
      </c>
      <c r="AN10" s="16">
        <f>AN12*0.871</f>
        <v/>
      </c>
      <c r="AO10" s="16">
        <f>AO12*0.871</f>
        <v/>
      </c>
    </row>
    <row r="11">
      <c r="C11" s="9" t="inlineStr">
        <is>
          <t>Product and Other Revenue</t>
        </is>
      </c>
      <c r="G11" s="8" t="n">
        <v>271</v>
      </c>
      <c r="H11" s="8" t="n">
        <v>427</v>
      </c>
      <c r="I11" s="8" t="n">
        <v>607</v>
      </c>
      <c r="J11" s="8" t="n">
        <v>583</v>
      </c>
      <c r="K11" s="8" t="n">
        <v>353</v>
      </c>
      <c r="L11" s="8" t="n">
        <v>528</v>
      </c>
      <c r="M11" s="8" t="n">
        <v>693</v>
      </c>
      <c r="N11" s="8" t="n">
        <v>689</v>
      </c>
      <c r="O11" s="8" t="n">
        <v>514</v>
      </c>
      <c r="P11" s="8" t="n">
        <v>394</v>
      </c>
      <c r="Q11" s="8" t="n">
        <v>714</v>
      </c>
      <c r="R11" s="8" t="n">
        <v>783</v>
      </c>
      <c r="S11" s="8" t="n">
        <v>540</v>
      </c>
      <c r="T11" s="8" t="n">
        <v>388</v>
      </c>
      <c r="U11" s="8" t="n">
        <v>779</v>
      </c>
      <c r="V11" s="8" t="n">
        <v>799</v>
      </c>
      <c r="W11" s="16">
        <f>W12*0.129</f>
        <v/>
      </c>
      <c r="X11" s="16">
        <f>X12*0.129</f>
        <v/>
      </c>
      <c r="Y11" s="16">
        <f>Y12*0.129</f>
        <v/>
      </c>
      <c r="Z11" s="16">
        <f>Z12*0.129</f>
        <v/>
      </c>
      <c r="AA11" s="16">
        <f>AA12*0.129</f>
        <v/>
      </c>
      <c r="AB11" s="16">
        <f>AB12*0.129</f>
        <v/>
      </c>
      <c r="AC11" s="16">
        <f>AC12*0.129</f>
        <v/>
      </c>
      <c r="AD11" s="16">
        <f>AD12*0.129</f>
        <v/>
      </c>
      <c r="AF11" s="8" t="n">
        <v>1698</v>
      </c>
      <c r="AG11" s="8" t="n">
        <v>1747</v>
      </c>
      <c r="AH11" s="8" t="n">
        <v>1970</v>
      </c>
      <c r="AI11" s="8" t="n">
        <v>2424</v>
      </c>
      <c r="AJ11" s="8" t="n">
        <v>2431</v>
      </c>
      <c r="AK11" s="16">
        <f>T11+U11+V11+W11</f>
        <v/>
      </c>
      <c r="AL11" s="16">
        <f>X11+Y11+Z11+AA11</f>
        <v/>
      </c>
      <c r="AM11" s="16">
        <f>AM12*0.129</f>
        <v/>
      </c>
      <c r="AN11" s="16">
        <f>AN12*0.129</f>
        <v/>
      </c>
      <c r="AO11" s="16">
        <f>AO12*0.129</f>
        <v/>
      </c>
    </row>
    <row r="12">
      <c r="B12" s="6" t="inlineStr">
        <is>
          <t>Total Net Revenue</t>
        </is>
      </c>
      <c r="G12" s="10">
        <f>G10+G11</f>
        <v/>
      </c>
      <c r="H12" s="10">
        <f>H10+H11</f>
        <v/>
      </c>
      <c r="I12" s="10">
        <f>I10+I11</f>
        <v/>
      </c>
      <c r="J12" s="10">
        <f>J10+J11</f>
        <v/>
      </c>
      <c r="K12" s="10">
        <f>K10+K11</f>
        <v/>
      </c>
      <c r="L12" s="10">
        <f>L10+L11</f>
        <v/>
      </c>
      <c r="M12" s="10">
        <f>M10+M11</f>
        <v/>
      </c>
      <c r="N12" s="10">
        <f>N10+N11</f>
        <v/>
      </c>
      <c r="O12" s="10">
        <f>O10+O11</f>
        <v/>
      </c>
      <c r="P12" s="10">
        <f>P10+P11</f>
        <v/>
      </c>
      <c r="Q12" s="10">
        <f>Q10+Q11</f>
        <v/>
      </c>
      <c r="R12" s="10">
        <f>R10+R11</f>
        <v/>
      </c>
      <c r="S12" s="10">
        <f>S10+S11</f>
        <v/>
      </c>
      <c r="T12" s="10">
        <f>T10+T11</f>
        <v/>
      </c>
      <c r="U12" s="10">
        <f>U10+U11</f>
        <v/>
      </c>
      <c r="V12" s="10">
        <f>V10+V11</f>
        <v/>
      </c>
      <c r="W12" s="20">
        <f>W175</f>
        <v/>
      </c>
      <c r="X12" s="20">
        <f>X175</f>
        <v/>
      </c>
      <c r="Y12" s="20">
        <f>Y175</f>
        <v/>
      </c>
      <c r="Z12" s="20">
        <f>Z175</f>
        <v/>
      </c>
      <c r="AA12" s="20">
        <f>AA175</f>
        <v/>
      </c>
      <c r="AB12" s="20">
        <f>AB175</f>
        <v/>
      </c>
      <c r="AC12" s="20">
        <f>AC175</f>
        <v/>
      </c>
      <c r="AD12" s="20">
        <f>AD175</f>
        <v/>
      </c>
      <c r="AF12" s="10">
        <f>AF10+AF11</f>
        <v/>
      </c>
      <c r="AG12" s="10">
        <f>AG10+AG11</f>
        <v/>
      </c>
      <c r="AH12" s="10">
        <f>AH10+AH11</f>
        <v/>
      </c>
      <c r="AI12" s="10">
        <f>AI10+AI11</f>
        <v/>
      </c>
      <c r="AJ12" s="10">
        <f>AJ10+AJ11</f>
        <v/>
      </c>
      <c r="AK12" s="10">
        <f>T12+U12+V12+W12</f>
        <v/>
      </c>
      <c r="AL12" s="10">
        <f>X12+Y12+Z12+AA12</f>
        <v/>
      </c>
      <c r="AM12" s="20">
        <f>AM175</f>
        <v/>
      </c>
      <c r="AN12" s="20">
        <f>AN175</f>
        <v/>
      </c>
      <c r="AO12" s="20">
        <f>AO175</f>
        <v/>
      </c>
    </row>
    <row r="13">
      <c r="D13" s="3" t="inlineStr">
        <is>
          <t>Recon: Total Revenue</t>
        </is>
      </c>
      <c r="G13" s="21">
        <f>IF(_reported!G9="","",G12-_reported!G9)</f>
        <v/>
      </c>
      <c r="H13" s="21">
        <f>IF(_reported!H9="","",H12-_reported!H9)</f>
        <v/>
      </c>
      <c r="I13" s="21">
        <f>IF(_reported!I9="","",I12-_reported!I9)</f>
        <v/>
      </c>
      <c r="J13" s="21">
        <f>IF(_reported!J9="","",J12-_reported!J9)</f>
        <v/>
      </c>
      <c r="K13" s="21">
        <f>IF(_reported!K9="","",K12-_reported!K9)</f>
        <v/>
      </c>
      <c r="L13" s="21">
        <f>IF(_reported!L9="","",L12-_reported!L9)</f>
        <v/>
      </c>
      <c r="M13" s="21">
        <f>IF(_reported!M9="","",M12-_reported!M9)</f>
        <v/>
      </c>
      <c r="N13" s="21">
        <f>IF(_reported!N9="","",N12-_reported!N9)</f>
        <v/>
      </c>
      <c r="O13" s="21">
        <f>IF(_reported!O9="","",O12-_reported!O9)</f>
        <v/>
      </c>
      <c r="P13" s="21">
        <f>IF(_reported!P9="","",P12-_reported!P9)</f>
        <v/>
      </c>
      <c r="Q13" s="21">
        <f>IF(_reported!Q9="","",Q12-_reported!Q9)</f>
        <v/>
      </c>
      <c r="R13" s="21">
        <f>IF(_reported!R9="","",R12-_reported!R9)</f>
        <v/>
      </c>
      <c r="S13" s="21">
        <f>IF(_reported!S9="","",S12-_reported!S9)</f>
        <v/>
      </c>
      <c r="T13" s="21">
        <f>IF(_reported!T9="","",T12-_reported!T9)</f>
        <v/>
      </c>
      <c r="U13" s="21">
        <f>IF(_reported!U9="","",U12-_reported!U9)</f>
        <v/>
      </c>
      <c r="V13" s="21">
        <f>IF(_reported!V9="","",V12-_reported!V9)</f>
        <v/>
      </c>
      <c r="AF13" s="21">
        <f>IF(_reported!AF9="","",AF12-_reported!AF9)</f>
        <v/>
      </c>
      <c r="AG13" s="21">
        <f>IF(_reported!AG9="","",AG12-_reported!AG9)</f>
        <v/>
      </c>
      <c r="AH13" s="21">
        <f>IF(_reported!AH9="","",AH12-_reported!AH9)</f>
        <v/>
      </c>
      <c r="AI13" s="21">
        <f>IF(_reported!AI9="","",AI12-_reported!AI9)</f>
        <v/>
      </c>
      <c r="AJ13" s="21">
        <f>IF(_reported!AJ9="","",AJ12-_reported!AJ9)</f>
        <v/>
      </c>
    </row>
    <row r="14"/>
    <row r="15">
      <c r="C15" s="9" t="inlineStr">
        <is>
          <t>Less: Cost of Service Revenue</t>
        </is>
      </c>
      <c r="G15" s="8" t="n">
        <v>-543</v>
      </c>
      <c r="H15" s="8" t="n">
        <v>-620</v>
      </c>
      <c r="I15" s="8" t="n">
        <v>-709</v>
      </c>
      <c r="J15" s="8" t="n">
        <v>-924</v>
      </c>
      <c r="K15" s="8" t="n">
        <v>-656</v>
      </c>
      <c r="L15" s="8" t="n">
        <v>-707</v>
      </c>
      <c r="M15" s="8" t="n">
        <v>-796</v>
      </c>
      <c r="N15" s="8" t="n">
        <v>-1014</v>
      </c>
      <c r="O15" s="8" t="n">
        <v>-733</v>
      </c>
      <c r="P15" s="8" t="n">
        <v>-772</v>
      </c>
      <c r="Q15" s="8" t="n">
        <v>-880</v>
      </c>
      <c r="R15" s="8" t="n">
        <v>-1138</v>
      </c>
      <c r="S15" s="8" t="n">
        <v>-834</v>
      </c>
      <c r="T15" s="8" t="n">
        <v>-824</v>
      </c>
      <c r="U15" s="8" t="n">
        <v>-981</v>
      </c>
      <c r="V15" s="8" t="n">
        <v>-1317</v>
      </c>
      <c r="W15" s="16">
        <f>-(W12*(1-0.77)+-44)*0.95</f>
        <v/>
      </c>
      <c r="X15" s="16">
        <f>-(X12*(1-0.815)+-44)*0.95</f>
        <v/>
      </c>
      <c r="Y15" s="16">
        <f>-(Y12*(1-0.81)+-44)*0.95</f>
        <v/>
      </c>
      <c r="Z15" s="16">
        <f>-(Z12*(1-0.82)+-44)*0.95</f>
        <v/>
      </c>
      <c r="AA15" s="16">
        <f>-(AA12*(1-0.775)+-38)*0.95</f>
        <v/>
      </c>
      <c r="AB15" s="16">
        <f>-(AB12*(1-0.815)+-38)*0.95</f>
        <v/>
      </c>
      <c r="AC15" s="16">
        <f>-(AC12*(1-0.81)+-38)*0.95</f>
        <v/>
      </c>
      <c r="AD15" s="16">
        <f>-(AD12*(1-0.82)+-38)*0.95</f>
        <v/>
      </c>
      <c r="AF15" s="8" t="n">
        <v>-1564</v>
      </c>
      <c r="AG15" s="8" t="n">
        <v>-2197</v>
      </c>
      <c r="AH15" s="8" t="n">
        <v>-2909</v>
      </c>
      <c r="AI15" s="8" t="n">
        <v>-3250</v>
      </c>
      <c r="AJ15" s="8" t="n">
        <v>-3624</v>
      </c>
      <c r="AK15" s="16">
        <f>T15+U15+V15+W15</f>
        <v/>
      </c>
      <c r="AL15" s="16">
        <f>X15+Y15+Z15+AA15</f>
        <v/>
      </c>
      <c r="AM15" s="16">
        <f>-(AM12*(1-0.81)+-150)*0.95</f>
        <v/>
      </c>
      <c r="AN15" s="16">
        <f>-(AN12*(1-0.812)+-120)*0.95</f>
        <v/>
      </c>
      <c r="AO15" s="16">
        <f>-(AO12*(1-0.815)+-90)*0.95</f>
        <v/>
      </c>
    </row>
    <row r="16">
      <c r="C16" s="9" t="inlineStr">
        <is>
          <t>Less: Cost of Product and Other Revenue</t>
        </is>
      </c>
      <c r="G16" s="8" t="n">
        <v>-16</v>
      </c>
      <c r="H16" s="8" t="n">
        <v>-15</v>
      </c>
      <c r="I16" s="8" t="n">
        <v>-23</v>
      </c>
      <c r="J16" s="8" t="n">
        <v>-17</v>
      </c>
      <c r="K16" s="8" t="n">
        <v>-16</v>
      </c>
      <c r="L16" s="8" t="n">
        <v>-15</v>
      </c>
      <c r="M16" s="8" t="n">
        <v>-23</v>
      </c>
      <c r="N16" s="8" t="n">
        <v>-17</v>
      </c>
      <c r="O16" s="8" t="n">
        <v>-14</v>
      </c>
      <c r="P16" s="8" t="n">
        <v>-14</v>
      </c>
      <c r="Q16" s="8" t="n">
        <v>-20</v>
      </c>
      <c r="R16" s="8" t="n">
        <v>-18</v>
      </c>
      <c r="S16" s="8" t="n">
        <v>-16</v>
      </c>
      <c r="T16" s="8" t="n">
        <v>-15</v>
      </c>
      <c r="U16" s="8" t="n">
        <v>-18</v>
      </c>
      <c r="V16" s="8" t="n">
        <v>-14</v>
      </c>
      <c r="W16" s="16">
        <f>-(W12*(1-0.77)+-44)*0.05</f>
        <v/>
      </c>
      <c r="X16" s="16">
        <f>-(X12*(1-0.815)+-44)*0.05</f>
        <v/>
      </c>
      <c r="Y16" s="16">
        <f>-(Y12*(1-0.81)+-44)*0.05</f>
        <v/>
      </c>
      <c r="Z16" s="16">
        <f>-(Z12*(1-0.82)+-44)*0.05</f>
        <v/>
      </c>
      <c r="AA16" s="16">
        <f>-(AA12*(1-0.775)+-38)*0.05</f>
        <v/>
      </c>
      <c r="AB16" s="16">
        <f>-(AB12*(1-0.815)+-38)*0.05</f>
        <v/>
      </c>
      <c r="AC16" s="16">
        <f>-(AC12*(1-0.81)+-38)*0.05</f>
        <v/>
      </c>
      <c r="AD16" s="16">
        <f>-(AD12*(1-0.82)+-38)*0.05</f>
        <v/>
      </c>
      <c r="AF16" s="8" t="n">
        <v>-69</v>
      </c>
      <c r="AG16" s="8" t="n">
        <v>-69</v>
      </c>
      <c r="AH16" s="8" t="n">
        <v>-71</v>
      </c>
      <c r="AI16" s="8" t="n">
        <v>-69</v>
      </c>
      <c r="AJ16" s="8" t="n">
        <v>-68</v>
      </c>
      <c r="AK16" s="16">
        <f>T16+U16+V16+W16</f>
        <v/>
      </c>
      <c r="AL16" s="16">
        <f>X16+Y16+Z16+AA16</f>
        <v/>
      </c>
      <c r="AM16" s="16">
        <f>-(AM12*(1-0.81)+-150)*0.05</f>
        <v/>
      </c>
      <c r="AN16" s="16">
        <f>-(AN12*(1-0.812)+-120)*0.05</f>
        <v/>
      </c>
      <c r="AO16" s="16">
        <f>-(AO12*(1-0.815)+-90)*0.05</f>
        <v/>
      </c>
    </row>
    <row r="17">
      <c r="C17" s="9" t="inlineStr">
        <is>
          <t>Less: Amortization of Acquired Technology</t>
        </is>
      </c>
      <c r="G17" s="8" t="n">
        <v>-41</v>
      </c>
      <c r="H17" s="8" t="n">
        <v>-41</v>
      </c>
      <c r="I17" s="8" t="n">
        <v>-41</v>
      </c>
      <c r="J17" s="8" t="n">
        <v>-40</v>
      </c>
      <c r="K17" s="8" t="n">
        <v>-41</v>
      </c>
      <c r="L17" s="8" t="n">
        <v>-38</v>
      </c>
      <c r="M17" s="8" t="n">
        <v>-36</v>
      </c>
      <c r="N17" s="8" t="n">
        <v>-36</v>
      </c>
      <c r="O17" s="8" t="n">
        <v>-36</v>
      </c>
      <c r="P17" s="8" t="n">
        <v>-37</v>
      </c>
      <c r="Q17" s="8" t="n">
        <v>-37</v>
      </c>
      <c r="R17" s="8" t="n">
        <v>-38</v>
      </c>
      <c r="S17" s="8" t="n">
        <v>-44</v>
      </c>
      <c r="T17" s="8" t="n">
        <v>-44</v>
      </c>
      <c r="U17" s="8" t="n">
        <v>-44</v>
      </c>
      <c r="V17" s="8" t="n">
        <v>-43</v>
      </c>
      <c r="W17" s="8" t="n">
        <v>-44</v>
      </c>
      <c r="X17" s="8" t="n">
        <v>-44</v>
      </c>
      <c r="Y17" s="8" t="n">
        <v>-44</v>
      </c>
      <c r="Z17" s="8" t="n">
        <v>-44</v>
      </c>
      <c r="AA17" s="8" t="n">
        <v>-38</v>
      </c>
      <c r="AB17" s="8" t="n">
        <v>-38</v>
      </c>
      <c r="AC17" s="8" t="n">
        <v>-38</v>
      </c>
      <c r="AD17" s="8" t="n">
        <v>-38</v>
      </c>
      <c r="AF17" s="8" t="n">
        <v>-50</v>
      </c>
      <c r="AG17" s="8" t="n">
        <v>-140</v>
      </c>
      <c r="AH17" s="8" t="n">
        <v>-163</v>
      </c>
      <c r="AI17" s="8" t="n">
        <v>-146</v>
      </c>
      <c r="AJ17" s="8" t="n">
        <v>-156</v>
      </c>
      <c r="AK17" s="16">
        <f>T17+U17+V17+W17</f>
        <v/>
      </c>
      <c r="AL17" s="16">
        <f>X17+Y17+Z17+AA17</f>
        <v/>
      </c>
      <c r="AM17" s="8" t="n">
        <v>-150</v>
      </c>
      <c r="AN17" s="8" t="n">
        <v>-120</v>
      </c>
      <c r="AO17" s="8" t="n">
        <v>-90</v>
      </c>
    </row>
    <row r="18">
      <c r="B18" s="6" t="inlineStr">
        <is>
          <t>Total Cost of Revenue</t>
        </is>
      </c>
      <c r="G18" s="10">
        <f>G15+G16+G17</f>
        <v/>
      </c>
      <c r="H18" s="10">
        <f>H15+H16+H17</f>
        <v/>
      </c>
      <c r="I18" s="10">
        <f>I15+I16+I17</f>
        <v/>
      </c>
      <c r="J18" s="10">
        <f>J15+J16+J17</f>
        <v/>
      </c>
      <c r="K18" s="10">
        <f>K15+K16+K17</f>
        <v/>
      </c>
      <c r="L18" s="10">
        <f>L15+L16+L17</f>
        <v/>
      </c>
      <c r="M18" s="10">
        <f>M15+M16+M17</f>
        <v/>
      </c>
      <c r="N18" s="10">
        <f>N15+N16+N17</f>
        <v/>
      </c>
      <c r="O18" s="10">
        <f>O15+O16+O17</f>
        <v/>
      </c>
      <c r="P18" s="10">
        <f>P15+P16+P17</f>
        <v/>
      </c>
      <c r="Q18" s="10">
        <f>Q15+Q16+Q17</f>
        <v/>
      </c>
      <c r="R18" s="10">
        <f>R15+R16+R17</f>
        <v/>
      </c>
      <c r="S18" s="10">
        <f>S15+S16+S17</f>
        <v/>
      </c>
      <c r="T18" s="10">
        <f>T15+T16+T17</f>
        <v/>
      </c>
      <c r="U18" s="10">
        <f>U15+U16+U17</f>
        <v/>
      </c>
      <c r="V18" s="10">
        <f>V15+V16+V17</f>
        <v/>
      </c>
      <c r="W18" s="10">
        <f>W15+W16+W17</f>
        <v/>
      </c>
      <c r="X18" s="10">
        <f>X15+X16+X17</f>
        <v/>
      </c>
      <c r="Y18" s="10">
        <f>Y15+Y16+Y17</f>
        <v/>
      </c>
      <c r="Z18" s="10">
        <f>Z15+Z16+Z17</f>
        <v/>
      </c>
      <c r="AA18" s="10">
        <f>AA15+AA16+AA17</f>
        <v/>
      </c>
      <c r="AB18" s="10">
        <f>AB15+AB16+AB17</f>
        <v/>
      </c>
      <c r="AC18" s="10">
        <f>AC15+AC16+AC17</f>
        <v/>
      </c>
      <c r="AD18" s="10">
        <f>AD15+AD16+AD17</f>
        <v/>
      </c>
      <c r="AF18" s="10">
        <f>AF15+AF16+AF17</f>
        <v/>
      </c>
      <c r="AG18" s="10">
        <f>AG15+AG16+AG17</f>
        <v/>
      </c>
      <c r="AH18" s="10">
        <f>AH15+AH16+AH17</f>
        <v/>
      </c>
      <c r="AI18" s="10">
        <f>AI15+AI16+AI17</f>
        <v/>
      </c>
      <c r="AJ18" s="10">
        <f>AJ15+AJ16+AJ17</f>
        <v/>
      </c>
      <c r="AK18" s="10">
        <f>AK15+AK16+AK17</f>
        <v/>
      </c>
      <c r="AL18" s="10">
        <f>AL15+AL16+AL17</f>
        <v/>
      </c>
      <c r="AM18" s="10">
        <f>AM15+AM16+AM17</f>
        <v/>
      </c>
      <c r="AN18" s="10">
        <f>AN15+AN16+AN17</f>
        <v/>
      </c>
      <c r="AO18" s="10">
        <f>AO15+AO16+AO17</f>
        <v/>
      </c>
    </row>
    <row r="19">
      <c r="D19" s="3" t="inlineStr">
        <is>
          <t>Recon: Total Cost of Revenue</t>
        </is>
      </c>
      <c r="G19" s="21">
        <f>IF(_reported!G10="","",G18-_reported!G10)</f>
        <v/>
      </c>
      <c r="H19" s="21">
        <f>IF(_reported!H10="","",H18-_reported!H10)</f>
        <v/>
      </c>
      <c r="I19" s="21">
        <f>IF(_reported!I10="","",I18-_reported!I10)</f>
        <v/>
      </c>
      <c r="J19" s="21">
        <f>IF(_reported!J10="","",J18-_reported!J10)</f>
        <v/>
      </c>
      <c r="K19" s="21">
        <f>IF(_reported!K10="","",K18-_reported!K10)</f>
        <v/>
      </c>
      <c r="L19" s="21">
        <f>IF(_reported!L10="","",L18-_reported!L10)</f>
        <v/>
      </c>
      <c r="M19" s="21">
        <f>IF(_reported!M10="","",M18-_reported!M10)</f>
        <v/>
      </c>
      <c r="N19" s="21">
        <f>IF(_reported!N10="","",N18-_reported!N10)</f>
        <v/>
      </c>
      <c r="O19" s="21">
        <f>IF(_reported!O10="","",O18-_reported!O10)</f>
        <v/>
      </c>
      <c r="P19" s="21">
        <f>IF(_reported!P10="","",P18-_reported!P10)</f>
        <v/>
      </c>
      <c r="Q19" s="21">
        <f>IF(_reported!Q10="","",Q18-_reported!Q10)</f>
        <v/>
      </c>
      <c r="R19" s="21">
        <f>IF(_reported!R10="","",R18-_reported!R10)</f>
        <v/>
      </c>
      <c r="S19" s="21">
        <f>IF(_reported!S10="","",S18-_reported!S10)</f>
        <v/>
      </c>
      <c r="T19" s="21">
        <f>IF(_reported!T10="","",T18-_reported!T10)</f>
        <v/>
      </c>
      <c r="U19" s="21">
        <f>IF(_reported!U10="","",U18-_reported!U10)</f>
        <v/>
      </c>
      <c r="V19" s="21">
        <f>IF(_reported!V10="","",V18-_reported!V10)</f>
        <v/>
      </c>
      <c r="AF19" s="21">
        <f>IF(_reported!AF10="","",AF18-_reported!AF10)</f>
        <v/>
      </c>
      <c r="AG19" s="21">
        <f>IF(_reported!AG10="","",AG18-_reported!AG10)</f>
        <v/>
      </c>
      <c r="AH19" s="21">
        <f>IF(_reported!AH10="","",AH18-_reported!AH10)</f>
        <v/>
      </c>
      <c r="AI19" s="21">
        <f>IF(_reported!AI10="","",AI18-_reported!AI10)</f>
        <v/>
      </c>
      <c r="AJ19" s="21">
        <f>IF(_reported!AJ10="","",AJ18-_reported!AJ10)</f>
        <v/>
      </c>
    </row>
    <row r="20"/>
    <row r="21">
      <c r="B21" s="6" t="inlineStr">
        <is>
          <t>Gross Profit</t>
        </is>
      </c>
      <c r="G21" s="10">
        <f>G12+G18</f>
        <v/>
      </c>
      <c r="H21" s="10">
        <f>H12+H18</f>
        <v/>
      </c>
      <c r="I21" s="10">
        <f>I12+I18</f>
        <v/>
      </c>
      <c r="J21" s="10">
        <f>J12+J18</f>
        <v/>
      </c>
      <c r="K21" s="10">
        <f>K12+K18</f>
        <v/>
      </c>
      <c r="L21" s="10">
        <f>L12+L18</f>
        <v/>
      </c>
      <c r="M21" s="10">
        <f>M12+M18</f>
        <v/>
      </c>
      <c r="N21" s="10">
        <f>N12+N18</f>
        <v/>
      </c>
      <c r="O21" s="10">
        <f>O12+O18</f>
        <v/>
      </c>
      <c r="P21" s="10">
        <f>P12+P18</f>
        <v/>
      </c>
      <c r="Q21" s="10">
        <f>Q12+Q18</f>
        <v/>
      </c>
      <c r="R21" s="10">
        <f>R12+R18</f>
        <v/>
      </c>
      <c r="S21" s="10">
        <f>S12+S18</f>
        <v/>
      </c>
      <c r="T21" s="10">
        <f>T12+T18</f>
        <v/>
      </c>
      <c r="U21" s="10">
        <f>U12+U18</f>
        <v/>
      </c>
      <c r="V21" s="10">
        <f>V12+V18</f>
        <v/>
      </c>
      <c r="W21" s="10">
        <f>W12+W18</f>
        <v/>
      </c>
      <c r="X21" s="10">
        <f>X12+X18</f>
        <v/>
      </c>
      <c r="Y21" s="10">
        <f>Y12+Y18</f>
        <v/>
      </c>
      <c r="Z21" s="10">
        <f>Z12+Z18</f>
        <v/>
      </c>
      <c r="AA21" s="10">
        <f>AA12+AA18</f>
        <v/>
      </c>
      <c r="AB21" s="10">
        <f>AB12+AB18</f>
        <v/>
      </c>
      <c r="AC21" s="10">
        <f>AC12+AC18</f>
        <v/>
      </c>
      <c r="AD21" s="10">
        <f>AD12+AD18</f>
        <v/>
      </c>
      <c r="AF21" s="10">
        <f>AF12+AF18</f>
        <v/>
      </c>
      <c r="AG21" s="10">
        <f>AG12+AG18</f>
        <v/>
      </c>
      <c r="AH21" s="10">
        <f>AH12+AH18</f>
        <v/>
      </c>
      <c r="AI21" s="10">
        <f>AI12+AI18</f>
        <v/>
      </c>
      <c r="AJ21" s="10">
        <f>AJ12+AJ18</f>
        <v/>
      </c>
      <c r="AK21" s="10">
        <f>T21+U21+V21+W21</f>
        <v/>
      </c>
      <c r="AL21" s="10">
        <f>X21+Y21+Z21+AA21</f>
        <v/>
      </c>
      <c r="AM21" s="10">
        <f>AM12+AM18</f>
        <v/>
      </c>
      <c r="AN21" s="10">
        <f>AN12+AN18</f>
        <v/>
      </c>
      <c r="AO21" s="10">
        <f>AO12+AO18</f>
        <v/>
      </c>
    </row>
    <row r="22"/>
    <row r="23">
      <c r="C23" s="9" t="inlineStr">
        <is>
          <t>Less: Selling and Marketing</t>
        </is>
      </c>
      <c r="G23" s="8" t="n">
        <v>-807</v>
      </c>
      <c r="H23" s="8" t="n">
        <v>-795</v>
      </c>
      <c r="I23" s="8" t="n">
        <v>-924</v>
      </c>
      <c r="J23" s="8" t="n">
        <v>-1203</v>
      </c>
      <c r="K23" s="8" t="n">
        <v>-840</v>
      </c>
      <c r="L23" s="8" t="n">
        <v>-769</v>
      </c>
      <c r="M23" s="8" t="n">
        <v>-1020</v>
      </c>
      <c r="N23" s="8" t="n">
        <v>-1419</v>
      </c>
      <c r="O23" s="8" t="n">
        <v>-1104</v>
      </c>
      <c r="P23" s="8" t="n">
        <v>-962</v>
      </c>
      <c r="Q23" s="8" t="n">
        <v>-1204</v>
      </c>
      <c r="R23" s="8" t="n">
        <v>-1618</v>
      </c>
      <c r="S23" s="8" t="n">
        <v>-1251</v>
      </c>
      <c r="T23" s="8" t="n">
        <v>-1082</v>
      </c>
      <c r="U23" s="8" t="n">
        <v>-1395</v>
      </c>
      <c r="V23" s="8" t="n">
        <v>-1793</v>
      </c>
      <c r="W23" s="16">
        <f>W12*-0.27</f>
        <v/>
      </c>
      <c r="X23" s="16">
        <f>X12*-0.29</f>
        <v/>
      </c>
      <c r="Y23" s="16">
        <f>Y12*-0.265</f>
        <v/>
      </c>
      <c r="Z23" s="16">
        <f>Z12*-0.205</f>
        <v/>
      </c>
      <c r="AA23" s="16">
        <f>AA12*-0.27</f>
        <v/>
      </c>
      <c r="AB23" s="16">
        <f>AB12*-0.285</f>
        <v/>
      </c>
      <c r="AC23" s="16">
        <f>AC12*-0.265</f>
        <v/>
      </c>
      <c r="AD23" s="16">
        <f>AD12*-0.205</f>
        <v/>
      </c>
      <c r="AF23" s="8" t="n">
        <v>-2644</v>
      </c>
      <c r="AG23" s="8" t="n">
        <v>-3526</v>
      </c>
      <c r="AH23" s="8" t="n">
        <v>-3762</v>
      </c>
      <c r="AI23" s="8" t="n">
        <v>-4312</v>
      </c>
      <c r="AJ23" s="8" t="n">
        <v>-5035</v>
      </c>
      <c r="AK23" s="16">
        <f>T23+U23+V23+W23</f>
        <v/>
      </c>
      <c r="AL23" s="16">
        <f>X23+Y23+Z23+AA23</f>
        <v/>
      </c>
      <c r="AM23" s="16">
        <f>AM12*-0.25</f>
        <v/>
      </c>
      <c r="AN23" s="16">
        <f>AN12*-0.245</f>
        <v/>
      </c>
      <c r="AO23" s="16">
        <f>AO12*-0.24</f>
        <v/>
      </c>
    </row>
    <row r="24">
      <c r="C24" s="9" t="inlineStr">
        <is>
          <t>Less: Research and Development</t>
        </is>
      </c>
      <c r="G24" s="8" t="n">
        <v>-627</v>
      </c>
      <c r="H24" s="8" t="n">
        <v>-625</v>
      </c>
      <c r="I24" s="8" t="n">
        <v>-630</v>
      </c>
      <c r="J24" s="8" t="n">
        <v>-604</v>
      </c>
      <c r="K24" s="8" t="n">
        <v>-680</v>
      </c>
      <c r="L24" s="8" t="n">
        <v>-680</v>
      </c>
      <c r="M24" s="8" t="n">
        <v>-678</v>
      </c>
      <c r="N24" s="8" t="n">
        <v>-671</v>
      </c>
      <c r="O24" s="8" t="n">
        <v>-725</v>
      </c>
      <c r="P24" s="8" t="n">
        <v>-704</v>
      </c>
      <c r="Q24" s="8" t="n">
        <v>-716</v>
      </c>
      <c r="R24" s="8" t="n">
        <v>-707</v>
      </c>
      <c r="S24" s="8" t="n">
        <v>-801</v>
      </c>
      <c r="T24" s="8" t="n">
        <v>-843</v>
      </c>
      <c r="U24" s="8" t="n">
        <v>-836</v>
      </c>
      <c r="V24" s="8" t="n">
        <v>-840</v>
      </c>
      <c r="W24" s="16">
        <f>W12*-0.215</f>
        <v/>
      </c>
      <c r="X24" s="16">
        <f>X12*-0.215</f>
        <v/>
      </c>
      <c r="Y24" s="16">
        <f>Y12*-0.18</f>
        <v/>
      </c>
      <c r="Z24" s="16">
        <f>Z12*-0.1</f>
        <v/>
      </c>
      <c r="AA24" s="16">
        <f>AA12*-0.21</f>
        <v/>
      </c>
      <c r="AB24" s="16">
        <f>AB12*-0.215</f>
        <v/>
      </c>
      <c r="AC24" s="16">
        <f>AC12*-0.18</f>
        <v/>
      </c>
      <c r="AD24" s="16">
        <f>AD12*-0.1</f>
        <v/>
      </c>
      <c r="AF24" s="8" t="n">
        <v>-1678</v>
      </c>
      <c r="AG24" s="8" t="n">
        <v>-2347</v>
      </c>
      <c r="AH24" s="8" t="n">
        <v>-2539</v>
      </c>
      <c r="AI24" s="8" t="n">
        <v>-2754</v>
      </c>
      <c r="AJ24" s="8" t="n">
        <v>-2928</v>
      </c>
      <c r="AK24" s="16">
        <f>T24+U24+V24+W24</f>
        <v/>
      </c>
      <c r="AL24" s="16">
        <f>X24+Y24+Z24+AA24</f>
        <v/>
      </c>
      <c r="AM24" s="16">
        <f>AM12*-0.145</f>
        <v/>
      </c>
      <c r="AN24" s="16">
        <f>AN12*-0.14</f>
        <v/>
      </c>
      <c r="AO24" s="16">
        <f>AO12*-0.135</f>
        <v/>
      </c>
    </row>
    <row r="25">
      <c r="C25" s="9" t="inlineStr">
        <is>
          <t>Less: General and Administrative</t>
        </is>
      </c>
      <c r="G25" s="8" t="n">
        <v>-334</v>
      </c>
      <c r="H25" s="8" t="n">
        <v>-304</v>
      </c>
      <c r="I25" s="8" t="n">
        <v>-323</v>
      </c>
      <c r="J25" s="8" t="n">
        <v>-332</v>
      </c>
      <c r="K25" s="8" t="n">
        <v>-341</v>
      </c>
      <c r="L25" s="8" t="n">
        <v>-342</v>
      </c>
      <c r="M25" s="8" t="n">
        <v>-344</v>
      </c>
      <c r="N25" s="8" t="n">
        <v>-355</v>
      </c>
      <c r="O25" s="8" t="n">
        <v>-377</v>
      </c>
      <c r="P25" s="8" t="n">
        <v>-394</v>
      </c>
      <c r="Q25" s="8" t="n">
        <v>-389</v>
      </c>
      <c r="R25" s="8" t="n">
        <v>-394</v>
      </c>
      <c r="S25" s="8" t="n">
        <v>-424</v>
      </c>
      <c r="T25" s="8" t="n">
        <v>-422</v>
      </c>
      <c r="U25" s="8" t="n">
        <v>-401</v>
      </c>
      <c r="V25" s="8" t="n">
        <v>-409</v>
      </c>
      <c r="W25" s="16">
        <f>W12*-0.11</f>
        <v/>
      </c>
      <c r="X25" s="16">
        <f>X12*-0.11</f>
        <v/>
      </c>
      <c r="Y25" s="16">
        <f>Y12*-0.085</f>
        <v/>
      </c>
      <c r="Z25" s="16">
        <f>Z12*-0.05</f>
        <v/>
      </c>
      <c r="AA25" s="16">
        <f>AA12*-0.105</f>
        <v/>
      </c>
      <c r="AB25" s="16">
        <f>AB12*-0.105</f>
        <v/>
      </c>
      <c r="AC25" s="16">
        <f>AC12*-0.085</f>
        <v/>
      </c>
      <c r="AD25" s="16">
        <f>AD12*-0.05</f>
        <v/>
      </c>
      <c r="AF25" s="8" t="n">
        <v>-982</v>
      </c>
      <c r="AG25" s="8" t="n">
        <v>-1460</v>
      </c>
      <c r="AH25" s="8" t="n">
        <v>-1300</v>
      </c>
      <c r="AI25" s="8" t="n">
        <v>-1418</v>
      </c>
      <c r="AJ25" s="8" t="n">
        <v>-1601</v>
      </c>
      <c r="AK25" s="16">
        <f>T25+U25+V25+W25</f>
        <v/>
      </c>
      <c r="AL25" s="16">
        <f>X25+Y25+Z25+AA25</f>
        <v/>
      </c>
      <c r="AM25" s="16">
        <f>AM12*-0.08</f>
        <v/>
      </c>
      <c r="AN25" s="16">
        <f>AN12*-0.078</f>
        <v/>
      </c>
      <c r="AO25" s="16">
        <f>AO12*-0.075</f>
        <v/>
      </c>
    </row>
    <row r="26">
      <c r="C26" s="9" t="inlineStr">
        <is>
          <t>Less: Amortization of Other Acquired Intangibles</t>
        </is>
      </c>
      <c r="G26" s="8" t="n">
        <v>-121</v>
      </c>
      <c r="H26" s="8" t="n">
        <v>-121</v>
      </c>
      <c r="I26" s="8" t="n">
        <v>-121</v>
      </c>
      <c r="J26" s="8" t="n">
        <v>-120</v>
      </c>
      <c r="K26" s="8" t="n">
        <v>-121</v>
      </c>
      <c r="L26" s="8" t="n">
        <v>-120</v>
      </c>
      <c r="M26" s="8" t="n">
        <v>-120</v>
      </c>
      <c r="N26" s="8" t="n">
        <v>-120</v>
      </c>
      <c r="O26" s="8" t="n">
        <v>-123</v>
      </c>
      <c r="P26" s="8" t="n">
        <v>-120</v>
      </c>
      <c r="Q26" s="8" t="n">
        <v>-120</v>
      </c>
      <c r="R26" s="8" t="n">
        <v>-120</v>
      </c>
      <c r="S26" s="8" t="n">
        <v>-121</v>
      </c>
      <c r="T26" s="8" t="n">
        <v>-121</v>
      </c>
      <c r="U26" s="8" t="n">
        <v>-121</v>
      </c>
      <c r="V26" s="8" t="n">
        <v>-122</v>
      </c>
      <c r="W26" s="8" t="n">
        <v>-121</v>
      </c>
      <c r="X26" s="8" t="n">
        <v>-120</v>
      </c>
      <c r="Y26" s="8" t="n">
        <v>-120</v>
      </c>
      <c r="Z26" s="8" t="n">
        <v>-120</v>
      </c>
      <c r="AA26" s="8" t="n">
        <v>-90</v>
      </c>
      <c r="AB26" s="8" t="n">
        <v>-90</v>
      </c>
      <c r="AC26" s="8" t="n">
        <v>-90</v>
      </c>
      <c r="AD26" s="8" t="n">
        <v>-90</v>
      </c>
      <c r="AF26" s="8" t="n">
        <v>-146</v>
      </c>
      <c r="AG26" s="8" t="n">
        <v>-416</v>
      </c>
      <c r="AH26" s="8" t="n">
        <v>-483</v>
      </c>
      <c r="AI26" s="8" t="n">
        <v>-483</v>
      </c>
      <c r="AJ26" s="8" t="n">
        <v>-481</v>
      </c>
      <c r="AK26" s="16">
        <f>T26+U26+V26+W26</f>
        <v/>
      </c>
      <c r="AL26" s="16">
        <f>X26+Y26+Z26+AA26</f>
        <v/>
      </c>
      <c r="AM26" s="8" t="n">
        <v>-360</v>
      </c>
      <c r="AN26" s="8" t="n">
        <v>-240</v>
      </c>
      <c r="AO26" s="8" t="n">
        <v>-180</v>
      </c>
    </row>
    <row r="27">
      <c r="C27" s="9" t="inlineStr">
        <is>
          <t>Less: Restructuring</t>
        </is>
      </c>
      <c r="H27" s="8" t="n">
        <v>0</v>
      </c>
      <c r="I27" s="8" t="n">
        <v>0</v>
      </c>
      <c r="J27" s="8" t="n">
        <v>0</v>
      </c>
      <c r="L27" s="8" t="n">
        <v>0</v>
      </c>
      <c r="M27" s="8" t="n">
        <v>0</v>
      </c>
      <c r="N27" s="8" t="n">
        <v>0</v>
      </c>
      <c r="O27" s="8" t="n">
        <v>-223</v>
      </c>
      <c r="P27" s="8" t="n">
        <v>-9</v>
      </c>
      <c r="Q27" s="8" t="n">
        <v>-4</v>
      </c>
      <c r="R27" s="8" t="n">
        <v>-1</v>
      </c>
      <c r="S27" s="8" t="n">
        <v>-1</v>
      </c>
      <c r="T27" s="8" t="n">
        <v>0</v>
      </c>
      <c r="U27" s="8" t="n">
        <v>0</v>
      </c>
      <c r="V27" s="8" t="n">
        <v>0</v>
      </c>
      <c r="W27" s="8" t="n">
        <v>0</v>
      </c>
      <c r="X27" s="8" t="n">
        <v>0</v>
      </c>
      <c r="Y27" s="8" t="n">
        <v>0</v>
      </c>
      <c r="Z27" s="8" t="n">
        <v>0</v>
      </c>
      <c r="AA27" s="8" t="n">
        <v>0</v>
      </c>
      <c r="AB27" s="8" t="n">
        <v>0</v>
      </c>
      <c r="AC27" s="8" t="n">
        <v>0</v>
      </c>
      <c r="AD27" s="8" t="n">
        <v>0</v>
      </c>
      <c r="AF27" s="8" t="n">
        <v>0</v>
      </c>
      <c r="AG27" s="8" t="n">
        <v>0</v>
      </c>
      <c r="AH27" s="8" t="n">
        <v>0</v>
      </c>
      <c r="AI27" s="8" t="n">
        <v>-223</v>
      </c>
      <c r="AJ27" s="8" t="n">
        <v>-15</v>
      </c>
      <c r="AK27" s="16">
        <f>T27+U27+V27+W27</f>
        <v/>
      </c>
      <c r="AL27" s="16">
        <f>X27+Y27+Z27+AA27</f>
        <v/>
      </c>
      <c r="AM27" s="8" t="n">
        <v>0</v>
      </c>
      <c r="AN27" s="8" t="n">
        <v>0</v>
      </c>
      <c r="AO27" s="8" t="n">
        <v>0</v>
      </c>
    </row>
    <row r="28">
      <c r="B28" s="6" t="inlineStr">
        <is>
          <t>Total Operating Expenses (excl. COGS)</t>
        </is>
      </c>
      <c r="G28" s="10">
        <f>G23+G24+G25+G26+G27</f>
        <v/>
      </c>
      <c r="H28" s="10">
        <f>H23+H24+H25+H26+H27</f>
        <v/>
      </c>
      <c r="I28" s="10">
        <f>I23+I24+I25+I26+I27</f>
        <v/>
      </c>
      <c r="J28" s="10">
        <f>J23+J24+J25+J26+J27</f>
        <v/>
      </c>
      <c r="K28" s="10">
        <f>K23+K24+K25+K26+K27</f>
        <v/>
      </c>
      <c r="L28" s="10">
        <f>L23+L24+L25+L26+L27</f>
        <v/>
      </c>
      <c r="M28" s="10">
        <f>M23+M24+M25+M26+M27</f>
        <v/>
      </c>
      <c r="N28" s="10">
        <f>N23+N24+N25+N26+N27</f>
        <v/>
      </c>
      <c r="O28" s="10">
        <f>O23+O24+O25+O26+O27</f>
        <v/>
      </c>
      <c r="P28" s="10">
        <f>P23+P24+P25+P26+P27</f>
        <v/>
      </c>
      <c r="Q28" s="10">
        <f>Q23+Q24+Q25+Q26+Q27</f>
        <v/>
      </c>
      <c r="R28" s="10">
        <f>R23+R24+R25+R26+R27</f>
        <v/>
      </c>
      <c r="S28" s="10">
        <f>S23+S24+S25+S26+S27</f>
        <v/>
      </c>
      <c r="T28" s="10">
        <f>T23+T24+T25+T26+T27</f>
        <v/>
      </c>
      <c r="U28" s="10">
        <f>U23+U24+U25+U26+U27</f>
        <v/>
      </c>
      <c r="V28" s="10">
        <f>V23+V24+V25+V26+V27</f>
        <v/>
      </c>
      <c r="W28" s="10">
        <f>W23+W24+W25+W26+W27</f>
        <v/>
      </c>
      <c r="X28" s="10">
        <f>X23+X24+X25+X26+X27</f>
        <v/>
      </c>
      <c r="Y28" s="10">
        <f>Y23+Y24+Y25+Y26+Y27</f>
        <v/>
      </c>
      <c r="Z28" s="10">
        <f>Z23+Z24+Z25+Z26+Z27</f>
        <v/>
      </c>
      <c r="AA28" s="10">
        <f>AA23+AA24+AA25+AA26+AA27</f>
        <v/>
      </c>
      <c r="AB28" s="10">
        <f>AB23+AB24+AB25+AB26+AB27</f>
        <v/>
      </c>
      <c r="AC28" s="10">
        <f>AC23+AC24+AC25+AC26+AC27</f>
        <v/>
      </c>
      <c r="AD28" s="10">
        <f>AD23+AD24+AD25+AD26+AD27</f>
        <v/>
      </c>
      <c r="AF28" s="10">
        <f>AF23+AF24+AF25+AF26+AF27</f>
        <v/>
      </c>
      <c r="AG28" s="10">
        <f>AG23+AG24+AG25+AG26+AG27</f>
        <v/>
      </c>
      <c r="AH28" s="10">
        <f>AH23+AH24+AH25+AH26+AH27</f>
        <v/>
      </c>
      <c r="AI28" s="10">
        <f>AI23+AI24+AI25+AI26+AI27</f>
        <v/>
      </c>
      <c r="AJ28" s="10">
        <f>AJ23+AJ24+AJ25+AJ26+AJ27</f>
        <v/>
      </c>
      <c r="AK28" s="10">
        <f>T28+U28+V28+W28</f>
        <v/>
      </c>
      <c r="AL28" s="10">
        <f>X28+Y28+Z28+AA28</f>
        <v/>
      </c>
      <c r="AM28" s="10">
        <f>AM23+AM24+AM25+AM26+AM27</f>
        <v/>
      </c>
      <c r="AN28" s="10">
        <f>AN23+AN24+AN25+AN26+AN27</f>
        <v/>
      </c>
      <c r="AO28" s="10">
        <f>AO23+AO24+AO25+AO26+AO27</f>
        <v/>
      </c>
    </row>
    <row r="29"/>
    <row r="30">
      <c r="B30" s="6" t="inlineStr">
        <is>
          <t>Total Costs and Expenses (as filed)</t>
        </is>
      </c>
      <c r="G30" s="10">
        <f>G18+G28</f>
        <v/>
      </c>
      <c r="H30" s="10">
        <f>H18+H28</f>
        <v/>
      </c>
      <c r="I30" s="10">
        <f>I18+I28</f>
        <v/>
      </c>
      <c r="J30" s="10">
        <f>J18+J28</f>
        <v/>
      </c>
      <c r="K30" s="10">
        <f>K18+K28</f>
        <v/>
      </c>
      <c r="L30" s="10">
        <f>L18+L28</f>
        <v/>
      </c>
      <c r="M30" s="10">
        <f>M18+M28</f>
        <v/>
      </c>
      <c r="N30" s="10">
        <f>N18+N28</f>
        <v/>
      </c>
      <c r="O30" s="10">
        <f>O18+O28</f>
        <v/>
      </c>
      <c r="P30" s="10">
        <f>P18+P28</f>
        <v/>
      </c>
      <c r="Q30" s="10">
        <f>Q18+Q28</f>
        <v/>
      </c>
      <c r="R30" s="10">
        <f>R18+R28</f>
        <v/>
      </c>
      <c r="S30" s="10">
        <f>S18+S28</f>
        <v/>
      </c>
      <c r="T30" s="10">
        <f>T18+T28</f>
        <v/>
      </c>
      <c r="U30" s="10">
        <f>U18+U28</f>
        <v/>
      </c>
      <c r="V30" s="10">
        <f>V18+V28</f>
        <v/>
      </c>
      <c r="W30" s="10">
        <f>W18+W28</f>
        <v/>
      </c>
      <c r="X30" s="10">
        <f>X18+X28</f>
        <v/>
      </c>
      <c r="Y30" s="10">
        <f>Y18+Y28</f>
        <v/>
      </c>
      <c r="Z30" s="10">
        <f>Z18+Z28</f>
        <v/>
      </c>
      <c r="AA30" s="10">
        <f>AA18+AA28</f>
        <v/>
      </c>
      <c r="AB30" s="10">
        <f>AB18+AB28</f>
        <v/>
      </c>
      <c r="AC30" s="10">
        <f>AC18+AC28</f>
        <v/>
      </c>
      <c r="AD30" s="10">
        <f>AD18+AD28</f>
        <v/>
      </c>
      <c r="AF30" s="10">
        <f>AF18+AF28</f>
        <v/>
      </c>
      <c r="AG30" s="10">
        <f>AG18+AG28</f>
        <v/>
      </c>
      <c r="AH30" s="10">
        <f>AH18+AH28</f>
        <v/>
      </c>
      <c r="AI30" s="10">
        <f>AI18+AI28</f>
        <v/>
      </c>
      <c r="AJ30" s="10">
        <f>AJ18+AJ28</f>
        <v/>
      </c>
      <c r="AK30" s="10">
        <f>T30+U30+V30+W30</f>
        <v/>
      </c>
      <c r="AL30" s="10">
        <f>X30+Y30+Z30+AA30</f>
        <v/>
      </c>
      <c r="AM30" s="10">
        <f>AM18+AM28</f>
        <v/>
      </c>
      <c r="AN30" s="10">
        <f>AN18+AN28</f>
        <v/>
      </c>
      <c r="AO30" s="10">
        <f>AO18+AO28</f>
        <v/>
      </c>
    </row>
    <row r="31">
      <c r="D31" s="3" t="inlineStr">
        <is>
          <t>Recon: Total Costs and Expenses</t>
        </is>
      </c>
      <c r="G31" s="21">
        <f>IF(_reported!G11="","",G30-_reported!G11)</f>
        <v/>
      </c>
      <c r="H31" s="21">
        <f>IF(_reported!H11="","",H30-_reported!H11)</f>
        <v/>
      </c>
      <c r="I31" s="21">
        <f>IF(_reported!I11="","",I30-_reported!I11)</f>
        <v/>
      </c>
      <c r="J31" s="21">
        <f>IF(_reported!J11="","",J30-_reported!J11)</f>
        <v/>
      </c>
      <c r="K31" s="21">
        <f>IF(_reported!K11="","",K30-_reported!K11)</f>
        <v/>
      </c>
      <c r="L31" s="21">
        <f>IF(_reported!L11="","",L30-_reported!L11)</f>
        <v/>
      </c>
      <c r="M31" s="21">
        <f>IF(_reported!M11="","",M30-_reported!M11)</f>
        <v/>
      </c>
      <c r="N31" s="21">
        <f>IF(_reported!N11="","",N30-_reported!N11)</f>
        <v/>
      </c>
      <c r="O31" s="21">
        <f>IF(_reported!O11="","",O30-_reported!O11)</f>
        <v/>
      </c>
      <c r="P31" s="21">
        <f>IF(_reported!P11="","",P30-_reported!P11)</f>
        <v/>
      </c>
      <c r="Q31" s="21">
        <f>IF(_reported!Q11="","",Q30-_reported!Q11)</f>
        <v/>
      </c>
      <c r="R31" s="21">
        <f>IF(_reported!R11="","",R30-_reported!R11)</f>
        <v/>
      </c>
      <c r="S31" s="21">
        <f>IF(_reported!S11="","",S30-_reported!S11)</f>
        <v/>
      </c>
      <c r="T31" s="21">
        <f>IF(_reported!T11="","",T30-_reported!T11)</f>
        <v/>
      </c>
      <c r="U31" s="21">
        <f>IF(_reported!U11="","",U30-_reported!U11)</f>
        <v/>
      </c>
      <c r="V31" s="21">
        <f>IF(_reported!V11="","",V30-_reported!V11)</f>
        <v/>
      </c>
      <c r="AF31" s="21">
        <f>IF(_reported!AF11="","",AF30-_reported!AF11)</f>
        <v/>
      </c>
      <c r="AG31" s="21">
        <f>IF(_reported!AG11="","",AG30-_reported!AG11)</f>
        <v/>
      </c>
      <c r="AH31" s="21">
        <f>IF(_reported!AH11="","",AH30-_reported!AH11)</f>
        <v/>
      </c>
      <c r="AI31" s="21">
        <f>IF(_reported!AI11="","",AI30-_reported!AI11)</f>
        <v/>
      </c>
      <c r="AJ31" s="21">
        <f>IF(_reported!AJ11="","",AJ30-_reported!AJ11)</f>
        <v/>
      </c>
    </row>
    <row r="32"/>
    <row r="33">
      <c r="B33" s="6" t="inlineStr">
        <is>
          <t>Operating Income</t>
        </is>
      </c>
      <c r="G33" s="10">
        <f>G21+G28</f>
        <v/>
      </c>
      <c r="H33" s="10">
        <f>H21+H28</f>
        <v/>
      </c>
      <c r="I33" s="10">
        <f>I21+I28</f>
        <v/>
      </c>
      <c r="J33" s="10">
        <f>J21+J28</f>
        <v/>
      </c>
      <c r="K33" s="10">
        <f>K21+K28</f>
        <v/>
      </c>
      <c r="L33" s="10">
        <f>L21+L28</f>
        <v/>
      </c>
      <c r="M33" s="10">
        <f>M21+M28</f>
        <v/>
      </c>
      <c r="N33" s="10">
        <f>N21+N28</f>
        <v/>
      </c>
      <c r="O33" s="10">
        <f>O21+O28</f>
        <v/>
      </c>
      <c r="P33" s="10">
        <f>P21+P28</f>
        <v/>
      </c>
      <c r="Q33" s="10">
        <f>Q21+Q28</f>
        <v/>
      </c>
      <c r="R33" s="10">
        <f>R21+R28</f>
        <v/>
      </c>
      <c r="S33" s="10">
        <f>S21+S28</f>
        <v/>
      </c>
      <c r="T33" s="10">
        <f>T21+T28</f>
        <v/>
      </c>
      <c r="U33" s="10">
        <f>U21+U28</f>
        <v/>
      </c>
      <c r="V33" s="10">
        <f>V21+V28</f>
        <v/>
      </c>
      <c r="W33" s="10">
        <f>W21+W28</f>
        <v/>
      </c>
      <c r="X33" s="10">
        <f>X21+X28</f>
        <v/>
      </c>
      <c r="Y33" s="10">
        <f>Y21+Y28</f>
        <v/>
      </c>
      <c r="Z33" s="10">
        <f>Z21+Z28</f>
        <v/>
      </c>
      <c r="AA33" s="10">
        <f>AA21+AA28</f>
        <v/>
      </c>
      <c r="AB33" s="10">
        <f>AB21+AB28</f>
        <v/>
      </c>
      <c r="AC33" s="10">
        <f>AC21+AC28</f>
        <v/>
      </c>
      <c r="AD33" s="10">
        <f>AD21+AD28</f>
        <v/>
      </c>
      <c r="AF33" s="10">
        <f>AF21+AF28</f>
        <v/>
      </c>
      <c r="AG33" s="10">
        <f>AG21+AG28</f>
        <v/>
      </c>
      <c r="AH33" s="10">
        <f>AH21+AH28</f>
        <v/>
      </c>
      <c r="AI33" s="10">
        <f>AI21+AI28</f>
        <v/>
      </c>
      <c r="AJ33" s="10">
        <f>AJ21+AJ28</f>
        <v/>
      </c>
      <c r="AK33" s="10">
        <f>T33+U33+V33+W33</f>
        <v/>
      </c>
      <c r="AL33" s="10">
        <f>X33+Y33+Z33+AA33</f>
        <v/>
      </c>
      <c r="AM33" s="10">
        <f>AM21+AM28</f>
        <v/>
      </c>
      <c r="AN33" s="10">
        <f>AN21+AN28</f>
        <v/>
      </c>
      <c r="AO33" s="10">
        <f>AO21+AO28</f>
        <v/>
      </c>
    </row>
    <row r="34">
      <c r="D34" s="3" t="inlineStr">
        <is>
          <t>Recon: Operating Income</t>
        </is>
      </c>
      <c r="G34" s="21">
        <f>IF(_reported!G12="","",G33-_reported!G12)</f>
        <v/>
      </c>
      <c r="H34" s="21">
        <f>IF(_reported!H12="","",H33-_reported!H12)</f>
        <v/>
      </c>
      <c r="I34" s="21">
        <f>IF(_reported!I12="","",I33-_reported!I12)</f>
        <v/>
      </c>
      <c r="J34" s="21">
        <f>IF(_reported!J12="","",J33-_reported!J12)</f>
        <v/>
      </c>
      <c r="K34" s="21">
        <f>IF(_reported!K12="","",K33-_reported!K12)</f>
        <v/>
      </c>
      <c r="L34" s="21">
        <f>IF(_reported!L12="","",L33-_reported!L12)</f>
        <v/>
      </c>
      <c r="M34" s="21">
        <f>IF(_reported!M12="","",M33-_reported!M12)</f>
        <v/>
      </c>
      <c r="N34" s="21">
        <f>IF(_reported!N12="","",N33-_reported!N12)</f>
        <v/>
      </c>
      <c r="O34" s="21">
        <f>IF(_reported!O12="","",O33-_reported!O12)</f>
        <v/>
      </c>
      <c r="P34" s="21">
        <f>IF(_reported!P12="","",P33-_reported!P12)</f>
        <v/>
      </c>
      <c r="Q34" s="21">
        <f>IF(_reported!Q12="","",Q33-_reported!Q12)</f>
        <v/>
      </c>
      <c r="R34" s="21">
        <f>IF(_reported!R12="","",R33-_reported!R12)</f>
        <v/>
      </c>
      <c r="S34" s="21">
        <f>IF(_reported!S12="","",S33-_reported!S12)</f>
        <v/>
      </c>
      <c r="T34" s="21">
        <f>IF(_reported!T12="","",T33-_reported!T12)</f>
        <v/>
      </c>
      <c r="U34" s="21">
        <f>IF(_reported!U12="","",U33-_reported!U12)</f>
        <v/>
      </c>
      <c r="V34" s="21">
        <f>IF(_reported!V12="","",V33-_reported!V12)</f>
        <v/>
      </c>
      <c r="AF34" s="21">
        <f>IF(_reported!AF12="","",AF33-_reported!AF12)</f>
        <v/>
      </c>
      <c r="AG34" s="21">
        <f>IF(_reported!AG12="","",AG33-_reported!AG12)</f>
        <v/>
      </c>
      <c r="AH34" s="21">
        <f>IF(_reported!AH12="","",AH33-_reported!AH12)</f>
        <v/>
      </c>
      <c r="AI34" s="21">
        <f>IF(_reported!AI12="","",AI33-_reported!AI12)</f>
        <v/>
      </c>
      <c r="AJ34" s="21">
        <f>IF(_reported!AJ12="","",AJ33-_reported!AJ12)</f>
        <v/>
      </c>
    </row>
    <row r="35"/>
    <row r="36">
      <c r="C36" s="9" t="inlineStr">
        <is>
          <t>Less: Interest Expense</t>
        </is>
      </c>
      <c r="G36" s="8" t="n">
        <v>-32</v>
      </c>
      <c r="H36" s="8" t="n">
        <v>-49</v>
      </c>
      <c r="I36" s="8" t="n">
        <v>-65</v>
      </c>
      <c r="J36" s="8" t="n">
        <v>-66</v>
      </c>
      <c r="K36" s="8" t="n">
        <v>-68</v>
      </c>
      <c r="L36" s="8" t="n">
        <v>-65</v>
      </c>
      <c r="M36" s="8" t="n">
        <v>-57</v>
      </c>
      <c r="N36" s="8" t="n">
        <v>-60</v>
      </c>
      <c r="O36" s="8" t="n">
        <v>-60</v>
      </c>
      <c r="P36" s="8" t="n">
        <v>-60</v>
      </c>
      <c r="Q36" s="8" t="n">
        <v>-60</v>
      </c>
      <c r="R36" s="8" t="n">
        <v>-68</v>
      </c>
      <c r="S36" s="8" t="n">
        <v>-59</v>
      </c>
      <c r="T36" s="8" t="n">
        <v>-58</v>
      </c>
      <c r="U36" s="8" t="n">
        <v>-58</v>
      </c>
      <c r="V36" s="8" t="n">
        <v>-70</v>
      </c>
      <c r="W36" s="16">
        <f>W12*-0.014</f>
        <v/>
      </c>
      <c r="X36" s="16">
        <f>X12*-0.013</f>
        <v/>
      </c>
      <c r="Y36" s="16">
        <f>Y12*-0.013</f>
        <v/>
      </c>
      <c r="Z36" s="16">
        <f>Z12*-0.008</f>
        <v/>
      </c>
      <c r="AA36" s="16">
        <f>AA12*-0.014</f>
        <v/>
      </c>
      <c r="AB36" s="16">
        <f>AB12*-0.013</f>
        <v/>
      </c>
      <c r="AC36" s="16">
        <f>AC12*-0.013</f>
        <v/>
      </c>
      <c r="AD36" s="16">
        <f>AD12*-0.008</f>
        <v/>
      </c>
      <c r="AF36" s="8" t="n">
        <v>-29</v>
      </c>
      <c r="AG36" s="8" t="n">
        <v>-81</v>
      </c>
      <c r="AH36" s="8" t="n">
        <v>-248</v>
      </c>
      <c r="AI36" s="8" t="n">
        <v>-242</v>
      </c>
      <c r="AJ36" s="8" t="n">
        <v>-247</v>
      </c>
      <c r="AK36" s="16">
        <f>T36+U36+V36+W36</f>
        <v/>
      </c>
      <c r="AL36" s="16">
        <f>X36+Y36+Z36+AA36</f>
        <v/>
      </c>
      <c r="AM36" s="16">
        <f>AM12*-0.011</f>
        <v/>
      </c>
      <c r="AN36" s="16">
        <f>AN12*-0.01</f>
        <v/>
      </c>
      <c r="AO36" s="16">
        <f>AO12*-0.009</f>
        <v/>
      </c>
    </row>
    <row r="37">
      <c r="C37" s="9" t="inlineStr">
        <is>
          <t>Interest and Other Income, Net</t>
        </is>
      </c>
      <c r="H37" s="8" t="n">
        <v>5</v>
      </c>
      <c r="L37" s="8" t="n">
        <v>22</v>
      </c>
      <c r="M37" s="8" t="n">
        <v>42</v>
      </c>
      <c r="N37" s="8" t="n">
        <v>27</v>
      </c>
      <c r="O37" s="8" t="n">
        <v>71</v>
      </c>
      <c r="P37" s="8" t="n">
        <v>2</v>
      </c>
      <c r="Q37" s="8" t="n">
        <v>38</v>
      </c>
      <c r="R37" s="8" t="n">
        <v>32</v>
      </c>
      <c r="S37" s="8" t="n">
        <v>86</v>
      </c>
      <c r="T37" s="8" t="n">
        <v>85</v>
      </c>
      <c r="U37" s="8" t="n">
        <v>72</v>
      </c>
      <c r="V37" s="8" t="n">
        <v>97</v>
      </c>
      <c r="W37" s="16">
        <f>W12*0.02</f>
        <v/>
      </c>
      <c r="X37" s="16">
        <f>X12*0.02</f>
        <v/>
      </c>
      <c r="Y37" s="16">
        <f>Y12*0.018</f>
        <v/>
      </c>
      <c r="Z37" s="16">
        <f>Z12*0.011</f>
        <v/>
      </c>
      <c r="AA37" s="16">
        <f>AA12*0.02</f>
        <v/>
      </c>
      <c r="AB37" s="16">
        <f>AB12*0.02</f>
        <v/>
      </c>
      <c r="AC37" s="16">
        <f>AC12*0.018</f>
        <v/>
      </c>
      <c r="AD37" s="16">
        <f>AD12*0.011</f>
        <v/>
      </c>
      <c r="AF37" s="8" t="n">
        <v>85</v>
      </c>
      <c r="AG37" s="8" t="n">
        <v>52</v>
      </c>
      <c r="AH37" s="8" t="n">
        <v>96</v>
      </c>
      <c r="AI37" s="8" t="n">
        <v>162</v>
      </c>
      <c r="AJ37" s="8" t="n">
        <v>158</v>
      </c>
      <c r="AK37" s="16">
        <f>T37+U37+V37+W37</f>
        <v/>
      </c>
      <c r="AL37" s="16">
        <f>X37+Y37+Z37+AA37</f>
        <v/>
      </c>
      <c r="AM37" s="16">
        <f>AM12*0.015</f>
        <v/>
      </c>
      <c r="AN37" s="16">
        <f>AN12*0.015</f>
        <v/>
      </c>
      <c r="AO37" s="16">
        <f>AO12*0.015</f>
        <v/>
      </c>
    </row>
    <row r="38">
      <c r="B38" s="6" t="inlineStr">
        <is>
          <t>Pretax Income</t>
        </is>
      </c>
      <c r="G38" s="10">
        <f>G33+G36+G37</f>
        <v/>
      </c>
      <c r="H38" s="10">
        <f>H33+H36+H37</f>
        <v/>
      </c>
      <c r="I38" s="10">
        <f>I33+I36+I37</f>
        <v/>
      </c>
      <c r="J38" s="10">
        <f>J33+J36+J37</f>
        <v/>
      </c>
      <c r="K38" s="10">
        <f>K33+K36+K37</f>
        <v/>
      </c>
      <c r="L38" s="10">
        <f>L33+L36+L37</f>
        <v/>
      </c>
      <c r="M38" s="10">
        <f>M33+M36+M37</f>
        <v/>
      </c>
      <c r="N38" s="10">
        <f>N33+N36+N37</f>
        <v/>
      </c>
      <c r="O38" s="10">
        <f>O33+O36+O37</f>
        <v/>
      </c>
      <c r="P38" s="10">
        <f>P33+P36+P37</f>
        <v/>
      </c>
      <c r="Q38" s="10">
        <f>Q33+Q36+Q37</f>
        <v/>
      </c>
      <c r="R38" s="10">
        <f>R33+R36+R37</f>
        <v/>
      </c>
      <c r="S38" s="10">
        <f>S33+S36+S37</f>
        <v/>
      </c>
      <c r="T38" s="10">
        <f>T33+T36+T37</f>
        <v/>
      </c>
      <c r="U38" s="10">
        <f>U33+U36+U37</f>
        <v/>
      </c>
      <c r="V38" s="10">
        <f>V33+V36+V37</f>
        <v/>
      </c>
      <c r="W38" s="10">
        <f>W33+W36+W37</f>
        <v/>
      </c>
      <c r="X38" s="10">
        <f>X33+X36+X37</f>
        <v/>
      </c>
      <c r="Y38" s="10">
        <f>Y33+Y36+Y37</f>
        <v/>
      </c>
      <c r="Z38" s="10">
        <f>Z33+Z36+Z37</f>
        <v/>
      </c>
      <c r="AA38" s="10">
        <f>AA33+AA36+AA37</f>
        <v/>
      </c>
      <c r="AB38" s="10">
        <f>AB33+AB36+AB37</f>
        <v/>
      </c>
      <c r="AC38" s="10">
        <f>AC33+AC36+AC37</f>
        <v/>
      </c>
      <c r="AD38" s="10">
        <f>AD33+AD36+AD37</f>
        <v/>
      </c>
      <c r="AF38" s="10">
        <f>AF33+AF36+AF37</f>
        <v/>
      </c>
      <c r="AG38" s="10">
        <f>AG33+AG36+AG37</f>
        <v/>
      </c>
      <c r="AH38" s="10">
        <f>AH33+AH36+AH37</f>
        <v/>
      </c>
      <c r="AI38" s="10">
        <f>AI33+AI36+AI37</f>
        <v/>
      </c>
      <c r="AJ38" s="10">
        <f>AJ33+AJ36+AJ37</f>
        <v/>
      </c>
      <c r="AK38" s="10">
        <f>T38+U38+V38+W38</f>
        <v/>
      </c>
      <c r="AL38" s="10">
        <f>X38+Y38+Z38+AA38</f>
        <v/>
      </c>
      <c r="AM38" s="10">
        <f>AM33+AM36+AM37</f>
        <v/>
      </c>
      <c r="AN38" s="10">
        <f>AN33+AN36+AN37</f>
        <v/>
      </c>
      <c r="AO38" s="10">
        <f>AO33+AO36+AO37</f>
        <v/>
      </c>
    </row>
    <row r="39">
      <c r="D39" s="3" t="inlineStr">
        <is>
          <t>Recon: Pretax</t>
        </is>
      </c>
      <c r="G39" s="21">
        <f>IF(_reported!G13="","",G38-_reported!G13)</f>
        <v/>
      </c>
      <c r="H39" s="21">
        <f>IF(_reported!H13="","",H38-_reported!H13)</f>
        <v/>
      </c>
      <c r="I39" s="21">
        <f>IF(_reported!I13="","",I38-_reported!I13)</f>
        <v/>
      </c>
      <c r="J39" s="21">
        <f>IF(_reported!J13="","",J38-_reported!J13)</f>
        <v/>
      </c>
      <c r="K39" s="21">
        <f>IF(_reported!K13="","",K38-_reported!K13)</f>
        <v/>
      </c>
      <c r="L39" s="21">
        <f>IF(_reported!L13="","",L38-_reported!L13)</f>
        <v/>
      </c>
      <c r="M39" s="21">
        <f>IF(_reported!M13="","",M38-_reported!M13)</f>
        <v/>
      </c>
      <c r="N39" s="21">
        <f>IF(_reported!N13="","",N38-_reported!N13)</f>
        <v/>
      </c>
      <c r="O39" s="21">
        <f>IF(_reported!O13="","",O38-_reported!O13)</f>
        <v/>
      </c>
      <c r="P39" s="21">
        <f>IF(_reported!P13="","",P38-_reported!P13)</f>
        <v/>
      </c>
      <c r="Q39" s="21">
        <f>IF(_reported!Q13="","",Q38-_reported!Q13)</f>
        <v/>
      </c>
      <c r="R39" s="21">
        <f>IF(_reported!R13="","",R38-_reported!R13)</f>
        <v/>
      </c>
      <c r="S39" s="21">
        <f>IF(_reported!S13="","",S38-_reported!S13)</f>
        <v/>
      </c>
      <c r="T39" s="21">
        <f>IF(_reported!T13="","",T38-_reported!T13)</f>
        <v/>
      </c>
      <c r="U39" s="21">
        <f>IF(_reported!U13="","",U38-_reported!U13)</f>
        <v/>
      </c>
      <c r="V39" s="21">
        <f>IF(_reported!V13="","",V38-_reported!V13)</f>
        <v/>
      </c>
      <c r="AF39" s="21">
        <f>IF(_reported!AF13="","",AF38-_reported!AF13)</f>
        <v/>
      </c>
      <c r="AG39" s="21">
        <f>IF(_reported!AG13="","",AG38-_reported!AG13)</f>
        <v/>
      </c>
      <c r="AH39" s="21">
        <f>IF(_reported!AH13="","",AH38-_reported!AH13)</f>
        <v/>
      </c>
      <c r="AI39" s="21">
        <f>IF(_reported!AI13="","",AI38-_reported!AI13)</f>
        <v/>
      </c>
      <c r="AJ39" s="21">
        <f>IF(_reported!AJ13="","",AJ38-_reported!AJ13)</f>
        <v/>
      </c>
    </row>
    <row r="40"/>
    <row r="41">
      <c r="C41" s="9" t="inlineStr">
        <is>
          <t>Less: Income Tax Provision</t>
        </is>
      </c>
      <c r="G41" s="8" t="n">
        <v>43</v>
      </c>
      <c r="I41" s="8" t="n">
        <v>-60</v>
      </c>
      <c r="J41" s="8" t="n">
        <v>-647</v>
      </c>
      <c r="K41" s="8" t="n">
        <v>94</v>
      </c>
      <c r="L41" s="8" t="n">
        <v>-23</v>
      </c>
      <c r="M41" s="8" t="n">
        <v>-1</v>
      </c>
      <c r="N41" s="8" t="n">
        <v>-683</v>
      </c>
      <c r="O41" s="8" t="n">
        <v>120</v>
      </c>
      <c r="P41" s="8" t="n">
        <v>-16</v>
      </c>
      <c r="Q41" s="8" t="n">
        <v>-100</v>
      </c>
      <c r="R41" s="8" t="n">
        <v>-864</v>
      </c>
      <c r="S41" s="8" t="n">
        <v>15</v>
      </c>
      <c r="T41" s="8" t="n">
        <v>-115</v>
      </c>
      <c r="U41" s="8" t="n">
        <v>-176</v>
      </c>
      <c r="V41" s="8" t="n">
        <v>-983</v>
      </c>
      <c r="W41" s="16">
        <f>-W38*0.22</f>
        <v/>
      </c>
      <c r="X41" s="16">
        <f>-X38*0.22</f>
        <v/>
      </c>
      <c r="Y41" s="16">
        <f>-Y38*0.205</f>
        <v/>
      </c>
      <c r="Z41" s="16">
        <f>-Z38*0.245</f>
        <v/>
      </c>
      <c r="AA41" s="16">
        <f>-AA38*0.22</f>
        <v/>
      </c>
      <c r="AB41" s="16">
        <f>-AB38*0.22</f>
        <v/>
      </c>
      <c r="AC41" s="16">
        <f>-AC38*0.205</f>
        <v/>
      </c>
      <c r="AD41" s="16">
        <f>-AD38*0.245</f>
        <v/>
      </c>
      <c r="AF41" s="8" t="n">
        <v>-494</v>
      </c>
      <c r="AG41" s="8" t="n">
        <v>-476</v>
      </c>
      <c r="AH41" s="8" t="n">
        <v>-605</v>
      </c>
      <c r="AI41" s="8" t="n">
        <v>-587</v>
      </c>
      <c r="AJ41" s="8" t="n">
        <v>-965</v>
      </c>
      <c r="AK41" s="16">
        <f>T41+U41+V41+W41</f>
        <v/>
      </c>
      <c r="AL41" s="16">
        <f>X41+Y41+Z41+AA41</f>
        <v/>
      </c>
      <c r="AM41" s="16">
        <f>-AM38*0.23</f>
        <v/>
      </c>
      <c r="AN41" s="16">
        <f>-AN38*0.23</f>
        <v/>
      </c>
      <c r="AO41" s="16">
        <f>-AO38*0.23</f>
        <v/>
      </c>
    </row>
    <row r="42">
      <c r="B42" s="6" t="inlineStr">
        <is>
          <t>Net Income</t>
        </is>
      </c>
      <c r="G42" s="10">
        <f>G38+G41</f>
        <v/>
      </c>
      <c r="H42" s="10">
        <f>H38+H41</f>
        <v/>
      </c>
      <c r="I42" s="10">
        <f>I38+I41</f>
        <v/>
      </c>
      <c r="J42" s="10">
        <f>J38+J41</f>
        <v/>
      </c>
      <c r="K42" s="10">
        <f>K38+K41</f>
        <v/>
      </c>
      <c r="L42" s="10">
        <f>L38+L41</f>
        <v/>
      </c>
      <c r="M42" s="10">
        <f>M38+M41</f>
        <v/>
      </c>
      <c r="N42" s="10">
        <f>N38+N41</f>
        <v/>
      </c>
      <c r="O42" s="10">
        <f>O38+O41</f>
        <v/>
      </c>
      <c r="P42" s="10">
        <f>P38+P41</f>
        <v/>
      </c>
      <c r="Q42" s="10">
        <f>Q38+Q41</f>
        <v/>
      </c>
      <c r="R42" s="10">
        <f>R38+R41</f>
        <v/>
      </c>
      <c r="S42" s="10">
        <f>S38+S41</f>
        <v/>
      </c>
      <c r="T42" s="10">
        <f>T38+T41</f>
        <v/>
      </c>
      <c r="U42" s="10">
        <f>U38+U41</f>
        <v/>
      </c>
      <c r="V42" s="10">
        <f>V38+V41</f>
        <v/>
      </c>
      <c r="W42" s="10">
        <f>W38+W41</f>
        <v/>
      </c>
      <c r="X42" s="10">
        <f>X38+X41</f>
        <v/>
      </c>
      <c r="Y42" s="10">
        <f>Y38+Y41</f>
        <v/>
      </c>
      <c r="Z42" s="10">
        <f>Z38+Z41</f>
        <v/>
      </c>
      <c r="AA42" s="10">
        <f>AA38+AA41</f>
        <v/>
      </c>
      <c r="AB42" s="10">
        <f>AB38+AB41</f>
        <v/>
      </c>
      <c r="AC42" s="10">
        <f>AC38+AC41</f>
        <v/>
      </c>
      <c r="AD42" s="10">
        <f>AD38+AD41</f>
        <v/>
      </c>
      <c r="AF42" s="10">
        <f>AF38+AF41</f>
        <v/>
      </c>
      <c r="AG42" s="10">
        <f>AG38+AG41</f>
        <v/>
      </c>
      <c r="AH42" s="10">
        <f>AH38+AH41</f>
        <v/>
      </c>
      <c r="AI42" s="10">
        <f>AI38+AI41</f>
        <v/>
      </c>
      <c r="AJ42" s="10">
        <f>AJ38+AJ41</f>
        <v/>
      </c>
      <c r="AK42" s="10">
        <f>T42+U42+V42+W42</f>
        <v/>
      </c>
      <c r="AL42" s="10">
        <f>X42+Y42+Z42+AA42</f>
        <v/>
      </c>
      <c r="AM42" s="10">
        <f>AM38+AM41</f>
        <v/>
      </c>
      <c r="AN42" s="10">
        <f>AN38+AN41</f>
        <v/>
      </c>
      <c r="AO42" s="10">
        <f>AO38+AO41</f>
        <v/>
      </c>
    </row>
    <row r="43">
      <c r="D43" s="3" t="inlineStr">
        <is>
          <t>Recon: Net Income</t>
        </is>
      </c>
      <c r="G43" s="21">
        <f>IF(_reported!G14="","",G42-_reported!G14)</f>
        <v/>
      </c>
      <c r="H43" s="21">
        <f>IF(_reported!H14="","",H42-_reported!H14)</f>
        <v/>
      </c>
      <c r="I43" s="21">
        <f>IF(_reported!I14="","",I42-_reported!I14)</f>
        <v/>
      </c>
      <c r="J43" s="21">
        <f>IF(_reported!J14="","",J42-_reported!J14)</f>
        <v/>
      </c>
      <c r="K43" s="21">
        <f>IF(_reported!K14="","",K42-_reported!K14)</f>
        <v/>
      </c>
      <c r="L43" s="21">
        <f>IF(_reported!L14="","",L42-_reported!L14)</f>
        <v/>
      </c>
      <c r="M43" s="21">
        <f>IF(_reported!M14="","",M42-_reported!M14)</f>
        <v/>
      </c>
      <c r="N43" s="21">
        <f>IF(_reported!N14="","",N42-_reported!N14)</f>
        <v/>
      </c>
      <c r="O43" s="21">
        <f>IF(_reported!O14="","",O42-_reported!O14)</f>
        <v/>
      </c>
      <c r="P43" s="21">
        <f>IF(_reported!P14="","",P42-_reported!P14)</f>
        <v/>
      </c>
      <c r="Q43" s="21">
        <f>IF(_reported!Q14="","",Q42-_reported!Q14)</f>
        <v/>
      </c>
      <c r="R43" s="21">
        <f>IF(_reported!R14="","",R42-_reported!R14)</f>
        <v/>
      </c>
      <c r="S43" s="21">
        <f>IF(_reported!S14="","",S42-_reported!S14)</f>
        <v/>
      </c>
      <c r="T43" s="21">
        <f>IF(_reported!T14="","",T42-_reported!T14)</f>
        <v/>
      </c>
      <c r="U43" s="21">
        <f>IF(_reported!U14="","",U42-_reported!U14)</f>
        <v/>
      </c>
      <c r="V43" s="21">
        <f>IF(_reported!V14="","",V42-_reported!V14)</f>
        <v/>
      </c>
      <c r="AF43" s="21">
        <f>IF(_reported!AF14="","",AF42-_reported!AF14)</f>
        <v/>
      </c>
      <c r="AG43" s="21">
        <f>IF(_reported!AG14="","",AG42-_reported!AG14)</f>
        <v/>
      </c>
      <c r="AH43" s="21">
        <f>IF(_reported!AH14="","",AH42-_reported!AH14)</f>
        <v/>
      </c>
      <c r="AI43" s="21">
        <f>IF(_reported!AI14="","",AI42-_reported!AI14)</f>
        <v/>
      </c>
      <c r="AJ43" s="21">
        <f>IF(_reported!AJ14="","",AJ42-_reported!AJ14)</f>
        <v/>
      </c>
    </row>
    <row r="44"/>
    <row r="45">
      <c r="C45" s="9" t="inlineStr">
        <is>
          <t>EPS — Basic</t>
        </is>
      </c>
      <c r="G45" s="12" t="n">
        <v>-0.2</v>
      </c>
      <c r="H45" s="12" t="n">
        <v>0.14</v>
      </c>
      <c r="I45" s="12" t="n">
        <v>0.6</v>
      </c>
      <c r="J45" s="12" t="n">
        <v>7.44</v>
      </c>
      <c r="K45" s="12" t="n">
        <v>0.32</v>
      </c>
      <c r="L45" s="12" t="n">
        <v>0.86</v>
      </c>
      <c r="M45" s="12" t="n">
        <v>1.26</v>
      </c>
      <c r="N45" s="12" t="n">
        <v>8.529999999999999</v>
      </c>
      <c r="O45" s="12" t="n">
        <v>-0.07000000000000001</v>
      </c>
      <c r="P45" s="12" t="n">
        <v>0.7</v>
      </c>
      <c r="Q45" s="12" t="n">
        <v>1.68</v>
      </c>
      <c r="R45" s="12" t="n">
        <v>10.09</v>
      </c>
      <c r="S45" s="12" t="n">
        <v>1.36</v>
      </c>
      <c r="T45" s="12" t="n">
        <v>1.6</v>
      </c>
      <c r="U45" s="12" t="n">
        <v>2.49</v>
      </c>
      <c r="V45" s="12" t="n">
        <v>11.1</v>
      </c>
      <c r="W45" s="22">
        <f>W42/W47</f>
        <v/>
      </c>
      <c r="X45" s="22">
        <f>X42/X47</f>
        <v/>
      </c>
      <c r="Y45" s="22">
        <f>Y42/Y47</f>
        <v/>
      </c>
      <c r="Z45" s="22">
        <f>Z42/Z47</f>
        <v/>
      </c>
      <c r="AA45" s="22">
        <f>AA42/AA47</f>
        <v/>
      </c>
      <c r="AB45" s="22">
        <f>AB42/AB47</f>
        <v/>
      </c>
      <c r="AC45" s="22">
        <f>AC42/AC47</f>
        <v/>
      </c>
      <c r="AD45" s="22">
        <f>AD42/AD47</f>
        <v/>
      </c>
      <c r="AF45" s="12" t="n">
        <v>7.65</v>
      </c>
      <c r="AG45" s="12" t="n">
        <v>7.38</v>
      </c>
      <c r="AH45" s="12" t="n">
        <v>8.49</v>
      </c>
      <c r="AI45" s="12" t="n">
        <v>10.58</v>
      </c>
      <c r="AJ45" s="12" t="n">
        <v>13.82</v>
      </c>
      <c r="AK45" s="22">
        <f>AK42/AK47</f>
        <v/>
      </c>
      <c r="AL45" s="22">
        <f>AL42/AL47</f>
        <v/>
      </c>
      <c r="AM45" s="22">
        <f>AM42/AM47</f>
        <v/>
      </c>
      <c r="AN45" s="22">
        <f>AN42/AN47</f>
        <v/>
      </c>
      <c r="AO45" s="22">
        <f>AO42/AO47</f>
        <v/>
      </c>
    </row>
    <row r="46">
      <c r="C46" s="9" t="inlineStr">
        <is>
          <t>EPS — Diluted</t>
        </is>
      </c>
      <c r="G46" s="12" t="n">
        <v>-0.2</v>
      </c>
      <c r="H46" s="12" t="n">
        <v>0.14</v>
      </c>
      <c r="I46" s="12" t="n">
        <v>0.6</v>
      </c>
      <c r="J46" s="12" t="n">
        <v>7.38</v>
      </c>
      <c r="K46" s="12" t="n">
        <v>0.32</v>
      </c>
      <c r="L46" s="12" t="n">
        <v>0.85</v>
      </c>
      <c r="M46" s="12" t="n">
        <v>1.25</v>
      </c>
      <c r="N46" s="12" t="n">
        <v>8.42</v>
      </c>
      <c r="O46" s="12" t="n">
        <v>-0.07000000000000001</v>
      </c>
      <c r="P46" s="12" t="n">
        <v>0.7</v>
      </c>
      <c r="Q46" s="12" t="n">
        <v>1.67</v>
      </c>
      <c r="R46" s="12" t="n">
        <v>10.02</v>
      </c>
      <c r="S46" s="12" t="n">
        <v>1.35</v>
      </c>
      <c r="T46" s="12" t="n">
        <v>1.59</v>
      </c>
      <c r="U46" s="12" t="n">
        <v>2.48</v>
      </c>
      <c r="V46" s="12" t="n">
        <v>11.09</v>
      </c>
      <c r="W46" s="22">
        <f>W42/W48</f>
        <v/>
      </c>
      <c r="X46" s="22">
        <f>X42/X48</f>
        <v/>
      </c>
      <c r="Y46" s="22">
        <f>Y42/Y48</f>
        <v/>
      </c>
      <c r="Z46" s="22">
        <f>Z42/Z48</f>
        <v/>
      </c>
      <c r="AA46" s="22">
        <f>AA42/AA48</f>
        <v/>
      </c>
      <c r="AB46" s="22">
        <f>AB42/AB48</f>
        <v/>
      </c>
      <c r="AC46" s="22">
        <f>AC42/AC48</f>
        <v/>
      </c>
      <c r="AD46" s="22">
        <f>AD42/AD48</f>
        <v/>
      </c>
      <c r="AF46" s="12" t="n">
        <v>7.56</v>
      </c>
      <c r="AG46" s="12" t="n">
        <v>7.28</v>
      </c>
      <c r="AH46" s="12" t="n">
        <v>8.42</v>
      </c>
      <c r="AI46" s="12" t="n">
        <v>10.43</v>
      </c>
      <c r="AJ46" s="12" t="n">
        <v>13.67</v>
      </c>
      <c r="AK46" s="22">
        <f>AK42/AK48</f>
        <v/>
      </c>
      <c r="AL46" s="22">
        <f>AL42/AL48</f>
        <v/>
      </c>
      <c r="AM46" s="22">
        <f>AM42/AM48</f>
        <v/>
      </c>
      <c r="AN46" s="22">
        <f>AN42/AN48</f>
        <v/>
      </c>
      <c r="AO46" s="22">
        <f>AO42/AO48</f>
        <v/>
      </c>
    </row>
    <row r="47">
      <c r="C47" s="9" t="inlineStr">
        <is>
          <t>Weighted-Avg Shares — Basic (M)</t>
        </is>
      </c>
      <c r="G47" s="13" t="n">
        <v>282</v>
      </c>
      <c r="H47" s="13" t="n">
        <v>281</v>
      </c>
      <c r="I47" s="13" t="n">
        <v>281</v>
      </c>
      <c r="J47" s="13" t="n">
        <v>281</v>
      </c>
      <c r="K47" s="13" t="n">
        <v>280</v>
      </c>
      <c r="L47" s="13" t="n">
        <v>280</v>
      </c>
      <c r="M47" s="13" t="n">
        <v>280</v>
      </c>
      <c r="N47" s="13" t="n">
        <v>280</v>
      </c>
      <c r="O47" s="13" t="n">
        <v>280</v>
      </c>
      <c r="P47" s="13" t="n">
        <v>280</v>
      </c>
      <c r="Q47" s="13" t="n">
        <v>280</v>
      </c>
      <c r="R47" s="13" t="n">
        <v>280</v>
      </c>
      <c r="S47" s="13" t="n">
        <v>279</v>
      </c>
      <c r="T47" s="13" t="n">
        <v>279</v>
      </c>
      <c r="U47" s="13" t="n">
        <v>278</v>
      </c>
      <c r="V47" s="13" t="n">
        <v>276</v>
      </c>
      <c r="W47" s="23">
        <f>V47*(1+-0.004)</f>
        <v/>
      </c>
      <c r="X47" s="23">
        <f>W47*(1+-0.004)</f>
        <v/>
      </c>
      <c r="Y47" s="23">
        <f>X47*(1+-0.004)</f>
        <v/>
      </c>
      <c r="Z47" s="23">
        <f>Y47*(1+-0.004)</f>
        <v/>
      </c>
      <c r="AA47" s="23">
        <f>Z47*(1+-0.004)</f>
        <v/>
      </c>
      <c r="AB47" s="23">
        <f>AA47*(1+-0.004)</f>
        <v/>
      </c>
      <c r="AC47" s="23">
        <f>AB47*(1+-0.004)</f>
        <v/>
      </c>
      <c r="AD47" s="23">
        <f>AC47*(1+-0.004)</f>
        <v/>
      </c>
      <c r="AF47" s="13" t="n">
        <v>270</v>
      </c>
      <c r="AG47" s="13" t="n">
        <v>280</v>
      </c>
      <c r="AH47" s="13" t="n">
        <v>281</v>
      </c>
      <c r="AI47" s="13" t="n">
        <v>280</v>
      </c>
      <c r="AJ47" s="13" t="n">
        <v>280</v>
      </c>
      <c r="AK47" s="23">
        <f>W47</f>
        <v/>
      </c>
      <c r="AL47" s="23">
        <f>AA47</f>
        <v/>
      </c>
      <c r="AM47" s="23">
        <f>AJ47*(1+-0.015)</f>
        <v/>
      </c>
      <c r="AN47" s="23">
        <f>AM47*(1+-0.015)</f>
        <v/>
      </c>
      <c r="AO47" s="23">
        <f>AN47*(1+-0.015)</f>
        <v/>
      </c>
    </row>
    <row r="48">
      <c r="C48" s="9" t="inlineStr">
        <is>
          <t>Weighted-Avg Shares — Diluted (M)</t>
        </is>
      </c>
      <c r="G48" s="13" t="n">
        <v>282</v>
      </c>
      <c r="H48" s="13" t="n">
        <v>284</v>
      </c>
      <c r="I48" s="13" t="n">
        <v>282</v>
      </c>
      <c r="J48" s="13" t="n">
        <v>283</v>
      </c>
      <c r="K48" s="13" t="n">
        <v>283</v>
      </c>
      <c r="L48" s="13" t="n">
        <v>283</v>
      </c>
      <c r="M48" s="13" t="n">
        <v>284</v>
      </c>
      <c r="N48" s="13" t="n">
        <v>284</v>
      </c>
      <c r="O48" s="13" t="n">
        <v>280</v>
      </c>
      <c r="P48" s="13" t="n">
        <v>283</v>
      </c>
      <c r="Q48" s="13" t="n">
        <v>283</v>
      </c>
      <c r="R48" s="13" t="n">
        <v>282</v>
      </c>
      <c r="S48" s="13" t="n">
        <v>282</v>
      </c>
      <c r="T48" s="13" t="n">
        <v>281</v>
      </c>
      <c r="U48" s="13" t="n">
        <v>280</v>
      </c>
      <c r="V48" s="13" t="n">
        <v>276</v>
      </c>
      <c r="W48" s="23">
        <f>V48*(1+-0.004)</f>
        <v/>
      </c>
      <c r="X48" s="23">
        <f>W48*(1+-0.004)</f>
        <v/>
      </c>
      <c r="Y48" s="23">
        <f>X48*(1+-0.004)</f>
        <v/>
      </c>
      <c r="Z48" s="23">
        <f>Y48*(1+-0.004)</f>
        <v/>
      </c>
      <c r="AA48" s="23">
        <f>Z48*(1+-0.004)</f>
        <v/>
      </c>
      <c r="AB48" s="23">
        <f>AA48*(1+-0.004)</f>
        <v/>
      </c>
      <c r="AC48" s="23">
        <f>AB48*(1+-0.004)</f>
        <v/>
      </c>
      <c r="AD48" s="23">
        <f>AC48*(1+-0.004)</f>
        <v/>
      </c>
      <c r="AF48" s="13" t="n">
        <v>273</v>
      </c>
      <c r="AG48" s="13" t="n">
        <v>284</v>
      </c>
      <c r="AH48" s="13" t="n">
        <v>283</v>
      </c>
      <c r="AI48" s="13" t="n">
        <v>284</v>
      </c>
      <c r="AJ48" s="13" t="n">
        <v>283</v>
      </c>
      <c r="AK48" s="23">
        <f>W48</f>
        <v/>
      </c>
      <c r="AL48" s="23">
        <f>AA48</f>
        <v/>
      </c>
      <c r="AM48" s="23">
        <f>AJ48*(1+-0.015)</f>
        <v/>
      </c>
      <c r="AN48" s="23">
        <f>AM48*(1+-0.015)</f>
        <v/>
      </c>
      <c r="AO48" s="23">
        <f>AN48*(1+-0.015)</f>
        <v/>
      </c>
    </row>
    <row r="49"/>
    <row r="50"/>
    <row r="51">
      <c r="B51" s="14" t="inlineStr">
        <is>
          <t>Balance Sheet</t>
        </is>
      </c>
      <c r="C51" s="14" t="n"/>
      <c r="D51" s="14" t="n"/>
      <c r="E51" s="14" t="n"/>
      <c r="F51" s="14" t="n"/>
      <c r="G51" s="14" t="n"/>
      <c r="H51" s="14" t="n"/>
      <c r="I51" s="14" t="n"/>
      <c r="J51" s="14" t="n"/>
      <c r="K51" s="14" t="n"/>
      <c r="L51" s="14" t="n"/>
      <c r="M51" s="14" t="n"/>
      <c r="N51" s="14" t="n"/>
      <c r="O51" s="14" t="n"/>
      <c r="P51" s="14" t="n"/>
      <c r="Q51" s="14" t="n"/>
      <c r="R51" s="14" t="n"/>
      <c r="S51" s="14" t="n"/>
      <c r="T51" s="14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</row>
    <row r="52"/>
    <row r="53">
      <c r="C53" s="9" t="inlineStr">
        <is>
          <t>Cash and Cash Equivalents</t>
        </is>
      </c>
      <c r="G53" s="8" t="n">
        <v>2796</v>
      </c>
      <c r="H53" s="8" t="n">
        <v>2125</v>
      </c>
      <c r="I53" s="8" t="n">
        <v>1547</v>
      </c>
      <c r="J53" s="8" t="n">
        <v>3745</v>
      </c>
      <c r="K53" s="8" t="n">
        <v>2848</v>
      </c>
      <c r="L53" s="8" t="n">
        <v>1734</v>
      </c>
      <c r="M53" s="8" t="n">
        <v>1474</v>
      </c>
      <c r="N53" s="8" t="n">
        <v>4215</v>
      </c>
      <c r="O53" s="8" t="n">
        <v>3609</v>
      </c>
      <c r="P53" s="8" t="n">
        <v>2872</v>
      </c>
      <c r="Q53" s="8" t="n">
        <v>2435</v>
      </c>
      <c r="R53" s="8" t="n">
        <v>5443</v>
      </c>
      <c r="S53" s="8" t="n">
        <v>2884</v>
      </c>
      <c r="T53" s="8" t="n">
        <v>3506</v>
      </c>
      <c r="U53" s="8" t="n">
        <v>2942</v>
      </c>
      <c r="V53" s="8" t="n">
        <v>4681</v>
      </c>
      <c r="W53" s="16">
        <f>V53+W157</f>
        <v/>
      </c>
      <c r="X53" s="16">
        <f>W53+X157</f>
        <v/>
      </c>
      <c r="Y53" s="16">
        <f>X53+Y157</f>
        <v/>
      </c>
      <c r="Z53" s="16">
        <f>Y53+Z157</f>
        <v/>
      </c>
      <c r="AA53" s="16">
        <f>Z53+AA157</f>
        <v/>
      </c>
      <c r="AB53" s="16">
        <f>AA53+AB157</f>
        <v/>
      </c>
      <c r="AC53" s="16">
        <f>AB53+AC157</f>
        <v/>
      </c>
      <c r="AD53" s="16">
        <f>AC53+AD157</f>
        <v/>
      </c>
      <c r="AF53" s="8" t="n">
        <v>2562</v>
      </c>
      <c r="AG53" s="8" t="n">
        <v>2796</v>
      </c>
      <c r="AH53" s="8" t="n">
        <v>2848</v>
      </c>
      <c r="AI53" s="8" t="n">
        <v>3609</v>
      </c>
      <c r="AJ53" s="8" t="n">
        <v>2884</v>
      </c>
      <c r="AK53" s="16">
        <f>W53</f>
        <v/>
      </c>
      <c r="AL53" s="16">
        <f>AA53</f>
        <v/>
      </c>
      <c r="AM53" s="16">
        <f>AJ53+AM157</f>
        <v/>
      </c>
      <c r="AN53" s="16">
        <f>AM53+AN157</f>
        <v/>
      </c>
      <c r="AO53" s="16">
        <f>AN53+AO157</f>
        <v/>
      </c>
    </row>
    <row r="54">
      <c r="C54" s="9" t="inlineStr">
        <is>
          <t>Investments (current)</t>
        </is>
      </c>
      <c r="G54" s="8" t="n">
        <v>485</v>
      </c>
      <c r="H54" s="8" t="n">
        <v>599</v>
      </c>
      <c r="I54" s="8" t="n">
        <v>524</v>
      </c>
      <c r="J54" s="8" t="n">
        <v>523</v>
      </c>
      <c r="K54" s="8" t="n">
        <v>814</v>
      </c>
      <c r="L54" s="8" t="n">
        <v>537</v>
      </c>
      <c r="M54" s="8" t="n">
        <v>15</v>
      </c>
      <c r="N54" s="8" t="n">
        <v>463</v>
      </c>
      <c r="O54" s="8" t="n">
        <v>465</v>
      </c>
      <c r="P54" s="8" t="n">
        <v>486</v>
      </c>
      <c r="Q54" s="8" t="n">
        <v>24</v>
      </c>
      <c r="R54" s="8" t="n">
        <v>731</v>
      </c>
      <c r="S54" s="8" t="n">
        <v>1668</v>
      </c>
      <c r="T54" s="8" t="n">
        <v>190</v>
      </c>
      <c r="U54" s="8" t="n">
        <v>33</v>
      </c>
      <c r="V54" s="8" t="n">
        <v>2099</v>
      </c>
      <c r="W54" s="16">
        <f>V54</f>
        <v/>
      </c>
      <c r="X54" s="16">
        <f>W54</f>
        <v/>
      </c>
      <c r="Y54" s="16">
        <f>X54</f>
        <v/>
      </c>
      <c r="Z54" s="16">
        <f>Y54</f>
        <v/>
      </c>
      <c r="AA54" s="16">
        <f>Z54</f>
        <v/>
      </c>
      <c r="AB54" s="16">
        <f>AA54</f>
        <v/>
      </c>
      <c r="AC54" s="16">
        <f>AB54</f>
        <v/>
      </c>
      <c r="AD54" s="16">
        <f>AC54</f>
        <v/>
      </c>
      <c r="AF54" s="8" t="n">
        <v>1308</v>
      </c>
      <c r="AG54" s="8" t="n">
        <v>485</v>
      </c>
      <c r="AH54" s="8" t="n">
        <v>814</v>
      </c>
      <c r="AI54" s="8" t="n">
        <v>465</v>
      </c>
      <c r="AJ54" s="8" t="n">
        <v>1668</v>
      </c>
      <c r="AK54" s="16">
        <f>W54</f>
        <v/>
      </c>
      <c r="AL54" s="16">
        <f>AA54</f>
        <v/>
      </c>
      <c r="AM54" s="16">
        <f>AJ54</f>
        <v/>
      </c>
      <c r="AN54" s="16">
        <f>AM54</f>
        <v/>
      </c>
      <c r="AO54" s="16">
        <f>AN54</f>
        <v/>
      </c>
    </row>
    <row r="55">
      <c r="C55" s="9" t="inlineStr">
        <is>
          <t>Accounts Receivable, Net</t>
        </is>
      </c>
      <c r="G55" s="8" t="n">
        <v>446</v>
      </c>
      <c r="H55" s="8" t="n">
        <v>384</v>
      </c>
      <c r="I55" s="8" t="n">
        <v>903</v>
      </c>
      <c r="J55" s="8" t="n">
        <v>717</v>
      </c>
      <c r="K55" s="8" t="n">
        <v>405</v>
      </c>
      <c r="L55" s="8" t="n">
        <v>372</v>
      </c>
      <c r="M55" s="8" t="n">
        <v>928</v>
      </c>
      <c r="N55" s="8" t="n">
        <v>790</v>
      </c>
      <c r="O55" s="8" t="n">
        <v>457</v>
      </c>
      <c r="P55" s="8" t="n">
        <v>426</v>
      </c>
      <c r="Q55" s="8" t="n">
        <v>1017</v>
      </c>
      <c r="R55" s="8" t="n">
        <v>724</v>
      </c>
      <c r="S55" s="8" t="n">
        <v>530</v>
      </c>
      <c r="T55" s="8" t="n">
        <v>579</v>
      </c>
      <c r="U55" s="8" t="n">
        <v>1175</v>
      </c>
      <c r="V55" s="8" t="n">
        <v>834</v>
      </c>
      <c r="W55" s="16">
        <f>W12*0.1</f>
        <v/>
      </c>
      <c r="X55" s="16">
        <f>X12*0.1</f>
        <v/>
      </c>
      <c r="Y55" s="16">
        <f>Y12*0.1</f>
        <v/>
      </c>
      <c r="Z55" s="16">
        <f>Z12*0.1</f>
        <v/>
      </c>
      <c r="AA55" s="16">
        <f>AA12*0.1</f>
        <v/>
      </c>
      <c r="AB55" s="16">
        <f>AB12*0.1</f>
        <v/>
      </c>
      <c r="AC55" s="16">
        <f>AC12*0.1</f>
        <v/>
      </c>
      <c r="AD55" s="16">
        <f>AD12*0.1</f>
        <v/>
      </c>
      <c r="AF55" s="8" t="n">
        <v>391</v>
      </c>
      <c r="AG55" s="8" t="n">
        <v>446</v>
      </c>
      <c r="AH55" s="8" t="n">
        <v>405</v>
      </c>
      <c r="AI55" s="8" t="n">
        <v>457</v>
      </c>
      <c r="AJ55" s="8" t="n">
        <v>530</v>
      </c>
      <c r="AK55" s="16">
        <f>W55</f>
        <v/>
      </c>
      <c r="AL55" s="16">
        <f>AA55</f>
        <v/>
      </c>
      <c r="AM55" s="16">
        <f>AM12*0.1*0.25</f>
        <v/>
      </c>
      <c r="AN55" s="16">
        <f>AN12*0.1*0.25</f>
        <v/>
      </c>
      <c r="AO55" s="16">
        <f>AO12*0.1*0.25</f>
        <v/>
      </c>
    </row>
    <row r="56">
      <c r="C56" s="9" t="inlineStr">
        <is>
          <t>Notes Receivable Held for Investment</t>
        </is>
      </c>
      <c r="G56" s="8" t="n">
        <v>509</v>
      </c>
      <c r="H56" s="8" t="n">
        <v>566</v>
      </c>
      <c r="I56" s="8" t="n">
        <v>948</v>
      </c>
      <c r="J56" s="8" t="n">
        <v>700</v>
      </c>
      <c r="K56" s="8" t="n">
        <v>687</v>
      </c>
      <c r="L56" s="8" t="n">
        <v>649</v>
      </c>
      <c r="M56" s="8" t="n">
        <v>1001</v>
      </c>
      <c r="N56" s="8" t="n">
        <v>698</v>
      </c>
      <c r="O56" s="8" t="n">
        <v>779</v>
      </c>
      <c r="P56" s="8" t="n">
        <v>892</v>
      </c>
      <c r="Q56" s="8" t="n">
        <v>1376</v>
      </c>
      <c r="R56" s="8" t="n">
        <v>1278</v>
      </c>
      <c r="S56" s="8" t="n">
        <v>1403</v>
      </c>
      <c r="T56" s="8" t="n">
        <v>1519</v>
      </c>
      <c r="U56" s="8" t="n">
        <v>1699</v>
      </c>
      <c r="V56" s="8" t="n">
        <v>1662</v>
      </c>
      <c r="W56" s="16">
        <f>V56</f>
        <v/>
      </c>
      <c r="X56" s="16">
        <f>W56</f>
        <v/>
      </c>
      <c r="Y56" s="16">
        <f>X56</f>
        <v/>
      </c>
      <c r="Z56" s="16">
        <f>Y56</f>
        <v/>
      </c>
      <c r="AA56" s="16">
        <f>Z56</f>
        <v/>
      </c>
      <c r="AB56" s="16">
        <f>AA56</f>
        <v/>
      </c>
      <c r="AC56" s="16">
        <f>AB56</f>
        <v/>
      </c>
      <c r="AD56" s="16">
        <f>AC56</f>
        <v/>
      </c>
      <c r="AG56" s="8" t="n">
        <v>509</v>
      </c>
      <c r="AH56" s="8" t="n">
        <v>687</v>
      </c>
      <c r="AI56" s="8" t="n">
        <v>779</v>
      </c>
      <c r="AJ56" s="8" t="n">
        <v>1403</v>
      </c>
      <c r="AK56" s="16">
        <f>W56</f>
        <v/>
      </c>
      <c r="AL56" s="16">
        <f>AA56</f>
        <v/>
      </c>
      <c r="AM56" s="16">
        <f>AJ56</f>
        <v/>
      </c>
      <c r="AN56" s="16">
        <f>AM56</f>
        <v/>
      </c>
      <c r="AO56" s="16">
        <f>AN56</f>
        <v/>
      </c>
    </row>
    <row r="57">
      <c r="C57" s="9" t="inlineStr">
        <is>
          <t>Notes Receivable Held for Sale</t>
        </is>
      </c>
      <c r="L57" s="8" t="n">
        <v>9</v>
      </c>
      <c r="M57" s="8" t="n">
        <v>21</v>
      </c>
      <c r="N57" s="8" t="n">
        <v>7</v>
      </c>
      <c r="O57" s="8" t="n">
        <v>3</v>
      </c>
      <c r="P57" s="8" t="n">
        <v>10</v>
      </c>
      <c r="Q57" s="8" t="n">
        <v>14</v>
      </c>
      <c r="R57" s="8" t="n">
        <v>47</v>
      </c>
      <c r="S57" s="8" t="n">
        <v>0</v>
      </c>
      <c r="T57" s="8" t="n">
        <v>48</v>
      </c>
      <c r="U57" s="8" t="n">
        <v>117</v>
      </c>
      <c r="V57" s="8" t="n">
        <v>69</v>
      </c>
      <c r="W57" s="16">
        <f>V57</f>
        <v/>
      </c>
      <c r="X57" s="16">
        <f>W57</f>
        <v/>
      </c>
      <c r="Y57" s="16">
        <f>X57</f>
        <v/>
      </c>
      <c r="Z57" s="16">
        <f>Y57</f>
        <v/>
      </c>
      <c r="AA57" s="16">
        <f>Z57</f>
        <v/>
      </c>
      <c r="AB57" s="16">
        <f>AA57</f>
        <v/>
      </c>
      <c r="AC57" s="16">
        <f>AB57</f>
        <v/>
      </c>
      <c r="AD57" s="16">
        <f>AC57</f>
        <v/>
      </c>
      <c r="AI57" s="8" t="n">
        <v>3</v>
      </c>
      <c r="AJ57" s="8" t="n">
        <v>0</v>
      </c>
      <c r="AK57" s="16">
        <f>W57</f>
        <v/>
      </c>
      <c r="AL57" s="16">
        <f>AA57</f>
        <v/>
      </c>
      <c r="AM57" s="16">
        <f>AJ57</f>
        <v/>
      </c>
      <c r="AN57" s="16">
        <f>AM57</f>
        <v/>
      </c>
      <c r="AO57" s="16">
        <f>AN57</f>
        <v/>
      </c>
    </row>
    <row r="58">
      <c r="C58" s="9" t="inlineStr">
        <is>
          <t>Income Taxes Receivable</t>
        </is>
      </c>
      <c r="G58" s="8" t="n">
        <v>93</v>
      </c>
      <c r="H58" s="8" t="n">
        <v>88</v>
      </c>
      <c r="I58" s="8" t="n">
        <v>67</v>
      </c>
      <c r="J58" s="8" t="n">
        <v>2</v>
      </c>
      <c r="K58" s="8" t="n">
        <v>29</v>
      </c>
      <c r="L58" s="8" t="n">
        <v>17</v>
      </c>
      <c r="M58" s="8" t="n">
        <v>126</v>
      </c>
      <c r="N58" s="8" t="n">
        <v>4</v>
      </c>
      <c r="O58" s="8" t="n">
        <v>78</v>
      </c>
      <c r="P58" s="8" t="n">
        <v>27</v>
      </c>
      <c r="Q58" s="8" t="n">
        <v>90</v>
      </c>
      <c r="R58" s="8" t="n">
        <v>9</v>
      </c>
      <c r="S58" s="8" t="n">
        <v>50</v>
      </c>
      <c r="T58" s="8" t="n">
        <v>31</v>
      </c>
      <c r="U58" s="8" t="n">
        <v>84</v>
      </c>
      <c r="V58" s="8" t="n">
        <v>52</v>
      </c>
      <c r="W58" s="16">
        <f>V58</f>
        <v/>
      </c>
      <c r="X58" s="16">
        <f>W58</f>
        <v/>
      </c>
      <c r="Y58" s="16">
        <f>X58</f>
        <v/>
      </c>
      <c r="Z58" s="16">
        <f>Y58</f>
        <v/>
      </c>
      <c r="AA58" s="16">
        <f>Z58</f>
        <v/>
      </c>
      <c r="AB58" s="16">
        <f>AA58</f>
        <v/>
      </c>
      <c r="AC58" s="16">
        <f>AB58</f>
        <v/>
      </c>
      <c r="AD58" s="16">
        <f>AC58</f>
        <v/>
      </c>
      <c r="AF58" s="8" t="n">
        <v>123</v>
      </c>
      <c r="AG58" s="8" t="n">
        <v>93</v>
      </c>
      <c r="AH58" s="8" t="n">
        <v>29</v>
      </c>
      <c r="AI58" s="8" t="n">
        <v>78</v>
      </c>
      <c r="AJ58" s="8" t="n">
        <v>50</v>
      </c>
      <c r="AK58" s="16">
        <f>W58</f>
        <v/>
      </c>
      <c r="AL58" s="16">
        <f>AA58</f>
        <v/>
      </c>
      <c r="AM58" s="16">
        <f>AJ58</f>
        <v/>
      </c>
      <c r="AN58" s="16">
        <f>AM58</f>
        <v/>
      </c>
      <c r="AO58" s="16">
        <f>AN58</f>
        <v/>
      </c>
    </row>
    <row r="59">
      <c r="C59" s="9" t="inlineStr">
        <is>
          <t>Prepaid + Other Current Assets</t>
        </is>
      </c>
      <c r="G59" s="8" t="n">
        <v>287</v>
      </c>
      <c r="H59" s="8" t="n">
        <v>324</v>
      </c>
      <c r="I59" s="8" t="n">
        <v>391</v>
      </c>
      <c r="J59" s="8" t="n">
        <v>574</v>
      </c>
      <c r="K59" s="8" t="n">
        <v>354</v>
      </c>
      <c r="L59" s="8" t="n">
        <v>388</v>
      </c>
      <c r="M59" s="8" t="n">
        <v>345</v>
      </c>
      <c r="N59" s="8" t="n">
        <v>337</v>
      </c>
      <c r="O59" s="8" t="n">
        <v>366</v>
      </c>
      <c r="P59" s="8" t="n">
        <v>407</v>
      </c>
      <c r="Q59" s="8" t="n">
        <v>845</v>
      </c>
      <c r="R59" s="8" t="n">
        <v>512</v>
      </c>
      <c r="S59" s="8" t="n">
        <v>496</v>
      </c>
      <c r="T59" s="8" t="n">
        <v>630</v>
      </c>
      <c r="U59" s="8" t="n">
        <v>1239</v>
      </c>
      <c r="V59" s="8" t="n">
        <v>680</v>
      </c>
      <c r="W59" s="16">
        <f>V59</f>
        <v/>
      </c>
      <c r="X59" s="16">
        <f>W59</f>
        <v/>
      </c>
      <c r="Y59" s="16">
        <f>X59</f>
        <v/>
      </c>
      <c r="Z59" s="16">
        <f>Y59</f>
        <v/>
      </c>
      <c r="AA59" s="16">
        <f>Z59</f>
        <v/>
      </c>
      <c r="AB59" s="16">
        <f>AA59</f>
        <v/>
      </c>
      <c r="AC59" s="16">
        <f>AB59</f>
        <v/>
      </c>
      <c r="AD59" s="16">
        <f>AC59</f>
        <v/>
      </c>
      <c r="AF59" s="8" t="n">
        <v>316</v>
      </c>
      <c r="AG59" s="8" t="n">
        <v>287</v>
      </c>
      <c r="AH59" s="8" t="n">
        <v>354</v>
      </c>
      <c r="AI59" s="8" t="n">
        <v>366</v>
      </c>
      <c r="AJ59" s="8" t="n">
        <v>496</v>
      </c>
      <c r="AK59" s="16">
        <f>W59</f>
        <v/>
      </c>
      <c r="AL59" s="16">
        <f>AA59</f>
        <v/>
      </c>
      <c r="AM59" s="16">
        <f>AJ59</f>
        <v/>
      </c>
      <c r="AN59" s="16">
        <f>AM59</f>
        <v/>
      </c>
      <c r="AO59" s="16">
        <f>AN59</f>
        <v/>
      </c>
    </row>
    <row r="60">
      <c r="C60" s="9" t="inlineStr">
        <is>
          <t>Funds Receivable + Amounts Held for Customers</t>
        </is>
      </c>
      <c r="G60" s="8" t="n">
        <v>431</v>
      </c>
      <c r="H60" s="8" t="n">
        <v>468</v>
      </c>
      <c r="I60" s="8" t="n">
        <v>376</v>
      </c>
      <c r="J60" s="8" t="n">
        <v>388</v>
      </c>
      <c r="K60" s="8" t="n">
        <v>420</v>
      </c>
      <c r="L60" s="8" t="n">
        <v>2525</v>
      </c>
      <c r="M60" s="8" t="n">
        <v>3390</v>
      </c>
      <c r="N60" s="8" t="n">
        <v>2722</v>
      </c>
      <c r="O60" s="8" t="n">
        <v>3921</v>
      </c>
      <c r="P60" s="8" t="n">
        <v>5606</v>
      </c>
      <c r="Q60" s="8" t="n">
        <v>3334</v>
      </c>
      <c r="R60" s="8" t="n">
        <v>5221</v>
      </c>
      <c r="S60" s="8" t="n">
        <v>7076</v>
      </c>
      <c r="T60" s="8" t="n">
        <v>3918</v>
      </c>
      <c r="U60" s="8" t="n">
        <v>4414</v>
      </c>
      <c r="V60" s="8" t="n">
        <v>7760</v>
      </c>
      <c r="W60" s="16">
        <f>V60</f>
        <v/>
      </c>
      <c r="X60" s="16">
        <f>W60</f>
        <v/>
      </c>
      <c r="Y60" s="16">
        <f>X60</f>
        <v/>
      </c>
      <c r="Z60" s="16">
        <f>Y60</f>
        <v/>
      </c>
      <c r="AA60" s="16">
        <f>Z60</f>
        <v/>
      </c>
      <c r="AB60" s="16">
        <f>AA60</f>
        <v/>
      </c>
      <c r="AC60" s="16">
        <f>AB60</f>
        <v/>
      </c>
      <c r="AD60" s="16">
        <f>AC60</f>
        <v/>
      </c>
      <c r="AF60" s="8" t="n">
        <v>457</v>
      </c>
      <c r="AG60" s="8" t="n">
        <v>431</v>
      </c>
      <c r="AH60" s="8" t="n">
        <v>420</v>
      </c>
      <c r="AI60" s="8" t="n">
        <v>3921</v>
      </c>
      <c r="AJ60" s="8" t="n">
        <v>7076</v>
      </c>
      <c r="AK60" s="16">
        <f>W60</f>
        <v/>
      </c>
      <c r="AL60" s="16">
        <f>AA60</f>
        <v/>
      </c>
      <c r="AM60" s="16">
        <f>AJ60</f>
        <v/>
      </c>
      <c r="AN60" s="16">
        <f>AM60</f>
        <v/>
      </c>
      <c r="AO60" s="16">
        <f>AN60</f>
        <v/>
      </c>
    </row>
    <row r="61">
      <c r="B61" s="6" t="inlineStr">
        <is>
          <t>Total Current Assets</t>
        </is>
      </c>
      <c r="G61" s="10">
        <f>G53+G54+G55+G56+G57+G58+G59+G60</f>
        <v/>
      </c>
      <c r="H61" s="10">
        <f>H53+H54+H55+H56+H57+H58+H59+H60</f>
        <v/>
      </c>
      <c r="I61" s="10">
        <f>I53+I54+I55+I56+I57+I58+I59+I60</f>
        <v/>
      </c>
      <c r="J61" s="10">
        <f>J53+J54+J55+J56+J57+J58+J59+J60</f>
        <v/>
      </c>
      <c r="K61" s="10">
        <f>K53+K54+K55+K56+K57+K58+K59+K60</f>
        <v/>
      </c>
      <c r="L61" s="10">
        <f>L53+L54+L55+L56+L57+L58+L59+L60</f>
        <v/>
      </c>
      <c r="M61" s="10">
        <f>M53+M54+M55+M56+M57+M58+M59+M60</f>
        <v/>
      </c>
      <c r="N61" s="10">
        <f>N53+N54+N55+N56+N57+N58+N59+N60</f>
        <v/>
      </c>
      <c r="O61" s="10">
        <f>O53+O54+O55+O56+O57+O58+O59+O60</f>
        <v/>
      </c>
      <c r="P61" s="10">
        <f>P53+P54+P55+P56+P57+P58+P59+P60</f>
        <v/>
      </c>
      <c r="Q61" s="10">
        <f>Q53+Q54+Q55+Q56+Q57+Q58+Q59+Q60</f>
        <v/>
      </c>
      <c r="R61" s="10">
        <f>R53+R54+R55+R56+R57+R58+R59+R60</f>
        <v/>
      </c>
      <c r="S61" s="10">
        <f>S53+S54+S55+S56+S57+S58+S59+S60</f>
        <v/>
      </c>
      <c r="T61" s="10">
        <f>T53+T54+T55+T56+T57+T58+T59+T60</f>
        <v/>
      </c>
      <c r="U61" s="10">
        <f>U53+U54+U55+U56+U57+U58+U59+U60</f>
        <v/>
      </c>
      <c r="V61" s="10">
        <f>V53+V54+V55+V56+V57+V58+V59+V60</f>
        <v/>
      </c>
      <c r="W61" s="10">
        <f>W53+W54+W55+W56+W57+W58+W59+W60</f>
        <v/>
      </c>
      <c r="X61" s="10">
        <f>X53+X54+X55+X56+X57+X58+X59+X60</f>
        <v/>
      </c>
      <c r="Y61" s="10">
        <f>Y53+Y54+Y55+Y56+Y57+Y58+Y59+Y60</f>
        <v/>
      </c>
      <c r="Z61" s="10">
        <f>Z53+Z54+Z55+Z56+Z57+Z58+Z59+Z60</f>
        <v/>
      </c>
      <c r="AA61" s="10">
        <f>AA53+AA54+AA55+AA56+AA57+AA58+AA59+AA60</f>
        <v/>
      </c>
      <c r="AB61" s="10">
        <f>AB53+AB54+AB55+AB56+AB57+AB58+AB59+AB60</f>
        <v/>
      </c>
      <c r="AC61" s="10">
        <f>AC53+AC54+AC55+AC56+AC57+AC58+AC59+AC60</f>
        <v/>
      </c>
      <c r="AD61" s="10">
        <f>AD53+AD54+AD55+AD56+AD57+AD58+AD59+AD60</f>
        <v/>
      </c>
      <c r="AF61" s="10">
        <f>AF53+AF54+AF55+AF56+AF57+AF58+AF59+AF60</f>
        <v/>
      </c>
      <c r="AG61" s="10">
        <f>AG53+AG54+AG55+AG56+AG57+AG58+AG59+AG60</f>
        <v/>
      </c>
      <c r="AH61" s="10">
        <f>AH53+AH54+AH55+AH56+AH57+AH58+AH59+AH60</f>
        <v/>
      </c>
      <c r="AI61" s="10">
        <f>AI53+AI54+AI55+AI56+AI57+AI58+AI59+AI60</f>
        <v/>
      </c>
      <c r="AJ61" s="10">
        <f>AJ53+AJ54+AJ55+AJ56+AJ57+AJ58+AJ59+AJ60</f>
        <v/>
      </c>
      <c r="AK61" s="10">
        <f>W61</f>
        <v/>
      </c>
      <c r="AL61" s="10">
        <f>AA61</f>
        <v/>
      </c>
      <c r="AM61" s="10">
        <f>AM53+AM54+AM55+AM56+AM57+AM58+AM59+AM60</f>
        <v/>
      </c>
      <c r="AN61" s="10">
        <f>AN53+AN54+AN55+AN56+AN57+AN58+AN59+AN60</f>
        <v/>
      </c>
      <c r="AO61" s="10">
        <f>AO53+AO54+AO55+AO56+AO57+AO58+AO59+AO60</f>
        <v/>
      </c>
    </row>
    <row r="62">
      <c r="D62" s="3" t="inlineStr">
        <is>
          <t>Recon: Total CA</t>
        </is>
      </c>
      <c r="G62" s="21">
        <f>IF(_reported!G15="","",G61-_reported!G15)</f>
        <v/>
      </c>
      <c r="H62" s="21">
        <f>IF(_reported!H15="","",H61-_reported!H15)</f>
        <v/>
      </c>
      <c r="I62" s="21">
        <f>IF(_reported!I15="","",I61-_reported!I15)</f>
        <v/>
      </c>
      <c r="J62" s="21">
        <f>IF(_reported!J15="","",J61-_reported!J15)</f>
        <v/>
      </c>
      <c r="K62" s="21">
        <f>IF(_reported!K15="","",K61-_reported!K15)</f>
        <v/>
      </c>
      <c r="L62" s="21">
        <f>IF(_reported!L15="","",L61-_reported!L15)</f>
        <v/>
      </c>
      <c r="M62" s="21">
        <f>IF(_reported!M15="","",M61-_reported!M15)</f>
        <v/>
      </c>
      <c r="N62" s="21">
        <f>IF(_reported!N15="","",N61-_reported!N15)</f>
        <v/>
      </c>
      <c r="O62" s="21">
        <f>IF(_reported!O15="","",O61-_reported!O15)</f>
        <v/>
      </c>
      <c r="P62" s="21">
        <f>IF(_reported!P15="","",P61-_reported!P15)</f>
        <v/>
      </c>
      <c r="Q62" s="21">
        <f>IF(_reported!Q15="","",Q61-_reported!Q15)</f>
        <v/>
      </c>
      <c r="R62" s="21">
        <f>IF(_reported!R15="","",R61-_reported!R15)</f>
        <v/>
      </c>
      <c r="S62" s="21">
        <f>IF(_reported!S15="","",S61-_reported!S15)</f>
        <v/>
      </c>
      <c r="T62" s="21">
        <f>IF(_reported!T15="","",T61-_reported!T15)</f>
        <v/>
      </c>
      <c r="U62" s="21">
        <f>IF(_reported!U15="","",U61-_reported!U15)</f>
        <v/>
      </c>
      <c r="V62" s="21">
        <f>IF(_reported!V15="","",V61-_reported!V15)</f>
        <v/>
      </c>
      <c r="AF62" s="21">
        <f>IF(_reported!AF15="","",AF61-_reported!AF15)</f>
        <v/>
      </c>
      <c r="AG62" s="21">
        <f>IF(_reported!AG15="","",AG61-_reported!AG15)</f>
        <v/>
      </c>
      <c r="AH62" s="21">
        <f>IF(_reported!AH15="","",AH61-_reported!AH15)</f>
        <v/>
      </c>
      <c r="AI62" s="21">
        <f>IF(_reported!AI15="","",AI61-_reported!AI15)</f>
        <v/>
      </c>
      <c r="AJ62" s="21">
        <f>IF(_reported!AJ15="","",AJ61-_reported!AJ15)</f>
        <v/>
      </c>
    </row>
    <row r="63"/>
    <row r="64">
      <c r="C64" s="9" t="inlineStr">
        <is>
          <t>Long-term Investments</t>
        </is>
      </c>
      <c r="G64" s="8" t="n">
        <v>98</v>
      </c>
      <c r="H64" s="8" t="n">
        <v>98</v>
      </c>
      <c r="I64" s="8" t="n">
        <v>108</v>
      </c>
      <c r="J64" s="8" t="n">
        <v>102</v>
      </c>
      <c r="K64" s="8" t="n">
        <v>105</v>
      </c>
      <c r="L64" s="8" t="n">
        <v>107</v>
      </c>
      <c r="M64" s="8" t="n">
        <v>128</v>
      </c>
      <c r="N64" s="8" t="n">
        <v>129</v>
      </c>
      <c r="O64" s="8" t="n">
        <v>131</v>
      </c>
      <c r="P64" s="8" t="n">
        <v>90</v>
      </c>
      <c r="Q64" s="8" t="n">
        <v>88</v>
      </c>
      <c r="R64" s="8" t="n">
        <v>88</v>
      </c>
      <c r="S64" s="8" t="n">
        <v>94</v>
      </c>
      <c r="T64" s="8" t="n">
        <v>92</v>
      </c>
      <c r="U64" s="8" t="n">
        <v>127</v>
      </c>
      <c r="V64" s="8" t="n">
        <v>176</v>
      </c>
      <c r="W64" s="16">
        <f>V64</f>
        <v/>
      </c>
      <c r="X64" s="16">
        <f>W64</f>
        <v/>
      </c>
      <c r="Y64" s="16">
        <f>X64</f>
        <v/>
      </c>
      <c r="Z64" s="16">
        <f>Y64</f>
        <v/>
      </c>
      <c r="AA64" s="16">
        <f>Z64</f>
        <v/>
      </c>
      <c r="AB64" s="16">
        <f>AA64</f>
        <v/>
      </c>
      <c r="AC64" s="16">
        <f>AB64</f>
        <v/>
      </c>
      <c r="AD64" s="16">
        <f>AC64</f>
        <v/>
      </c>
      <c r="AF64" s="8" t="n">
        <v>43</v>
      </c>
      <c r="AG64" s="8" t="n">
        <v>98</v>
      </c>
      <c r="AH64" s="8" t="n">
        <v>105</v>
      </c>
      <c r="AI64" s="8" t="n">
        <v>131</v>
      </c>
      <c r="AJ64" s="8" t="n">
        <v>94</v>
      </c>
      <c r="AK64" s="16">
        <f>W64</f>
        <v/>
      </c>
      <c r="AL64" s="16">
        <f>AA64</f>
        <v/>
      </c>
      <c r="AM64" s="16">
        <f>AJ64</f>
        <v/>
      </c>
      <c r="AN64" s="16">
        <f>AM64</f>
        <v/>
      </c>
      <c r="AO64" s="16">
        <f>AN64</f>
        <v/>
      </c>
    </row>
    <row r="65">
      <c r="C65" s="9" t="inlineStr">
        <is>
          <t>Property and Equipment, Net</t>
        </is>
      </c>
      <c r="G65" s="8" t="n">
        <v>888</v>
      </c>
      <c r="H65" s="8" t="n">
        <v>926</v>
      </c>
      <c r="I65" s="8" t="n">
        <v>931</v>
      </c>
      <c r="J65" s="8" t="n">
        <v>938</v>
      </c>
      <c r="K65" s="8" t="n">
        <v>969</v>
      </c>
      <c r="L65" s="8" t="n">
        <v>1013</v>
      </c>
      <c r="M65" s="8" t="n">
        <v>1049</v>
      </c>
      <c r="N65" s="8" t="n">
        <v>1032</v>
      </c>
      <c r="O65" s="8" t="n">
        <v>1009</v>
      </c>
      <c r="P65" s="8" t="n">
        <v>1008</v>
      </c>
      <c r="Q65" s="8" t="n">
        <v>992</v>
      </c>
      <c r="R65" s="8" t="n">
        <v>975</v>
      </c>
      <c r="S65" s="8" t="n">
        <v>961</v>
      </c>
      <c r="T65" s="8" t="n">
        <v>965</v>
      </c>
      <c r="U65" s="8" t="n">
        <v>974</v>
      </c>
      <c r="V65" s="8" t="n">
        <v>996</v>
      </c>
      <c r="W65" s="16">
        <f>W12*0.135</f>
        <v/>
      </c>
      <c r="X65" s="16">
        <f>X12*0.135</f>
        <v/>
      </c>
      <c r="Y65" s="16">
        <f>Y12*0.135</f>
        <v/>
      </c>
      <c r="Z65" s="16">
        <f>Z12*0.135</f>
        <v/>
      </c>
      <c r="AA65" s="16">
        <f>AA12*0.135</f>
        <v/>
      </c>
      <c r="AB65" s="16">
        <f>AB12*0.135</f>
        <v/>
      </c>
      <c r="AC65" s="16">
        <f>AC12*0.135</f>
        <v/>
      </c>
      <c r="AD65" s="16">
        <f>AD12*0.135</f>
        <v/>
      </c>
      <c r="AF65" s="8" t="n">
        <v>780</v>
      </c>
      <c r="AG65" s="8" t="n">
        <v>888</v>
      </c>
      <c r="AH65" s="8" t="n">
        <v>969</v>
      </c>
      <c r="AI65" s="8" t="n">
        <v>1009</v>
      </c>
      <c r="AJ65" s="8" t="n">
        <v>961</v>
      </c>
      <c r="AK65" s="16">
        <f>W65</f>
        <v/>
      </c>
      <c r="AL65" s="16">
        <f>AA65</f>
        <v/>
      </c>
      <c r="AM65" s="16">
        <f>AM12*0.135*0.25</f>
        <v/>
      </c>
      <c r="AN65" s="16">
        <f>AN12*0.135*0.25</f>
        <v/>
      </c>
      <c r="AO65" s="16">
        <f>AO12*0.135*0.25</f>
        <v/>
      </c>
    </row>
    <row r="66">
      <c r="C66" s="9" t="inlineStr">
        <is>
          <t>Operating Lease Right-of-Use Assets</t>
        </is>
      </c>
      <c r="G66" s="8" t="n">
        <v>549</v>
      </c>
      <c r="H66" s="8" t="n">
        <v>535</v>
      </c>
      <c r="I66" s="8" t="n">
        <v>508</v>
      </c>
      <c r="J66" s="8" t="n">
        <v>485</v>
      </c>
      <c r="K66" s="8" t="n">
        <v>469</v>
      </c>
      <c r="L66" s="8" t="n">
        <v>457</v>
      </c>
      <c r="M66" s="8" t="n">
        <v>444</v>
      </c>
      <c r="N66" s="8" t="n">
        <v>428</v>
      </c>
      <c r="O66" s="8" t="n">
        <v>411</v>
      </c>
      <c r="P66" s="8" t="n">
        <v>538</v>
      </c>
      <c r="Q66" s="8" t="n">
        <v>518</v>
      </c>
      <c r="R66" s="8" t="n">
        <v>560</v>
      </c>
      <c r="S66" s="8" t="n">
        <v>541</v>
      </c>
      <c r="T66" s="8" t="n">
        <v>596</v>
      </c>
      <c r="U66" s="8" t="n">
        <v>593</v>
      </c>
      <c r="V66" s="8" t="n">
        <v>601</v>
      </c>
      <c r="W66" s="16">
        <f>V66</f>
        <v/>
      </c>
      <c r="X66" s="16">
        <f>W66</f>
        <v/>
      </c>
      <c r="Y66" s="16">
        <f>X66</f>
        <v/>
      </c>
      <c r="Z66" s="16">
        <f>Y66</f>
        <v/>
      </c>
      <c r="AA66" s="16">
        <f>Z66</f>
        <v/>
      </c>
      <c r="AB66" s="16">
        <f>AA66</f>
        <v/>
      </c>
      <c r="AC66" s="16">
        <f>AB66</f>
        <v/>
      </c>
      <c r="AD66" s="16">
        <f>AC66</f>
        <v/>
      </c>
      <c r="AF66" s="8" t="n">
        <v>380</v>
      </c>
      <c r="AG66" s="8" t="n">
        <v>549</v>
      </c>
      <c r="AH66" s="8" t="n">
        <v>469</v>
      </c>
      <c r="AI66" s="8" t="n">
        <v>411</v>
      </c>
      <c r="AJ66" s="8" t="n">
        <v>541</v>
      </c>
      <c r="AK66" s="16">
        <f>W66</f>
        <v/>
      </c>
      <c r="AL66" s="16">
        <f>AA66</f>
        <v/>
      </c>
      <c r="AM66" s="16">
        <f>AJ66</f>
        <v/>
      </c>
      <c r="AN66" s="16">
        <f>AM66</f>
        <v/>
      </c>
      <c r="AO66" s="16">
        <f>AN66</f>
        <v/>
      </c>
    </row>
    <row r="67">
      <c r="C67" s="9" t="inlineStr">
        <is>
          <t>Goodwill</t>
        </is>
      </c>
      <c r="G67" s="8" t="n">
        <v>13736</v>
      </c>
      <c r="H67" s="8" t="n">
        <v>13732</v>
      </c>
      <c r="I67" s="8" t="n">
        <v>13779</v>
      </c>
      <c r="J67" s="8" t="n">
        <v>13778</v>
      </c>
      <c r="K67" s="8" t="n">
        <v>13780</v>
      </c>
      <c r="L67" s="8" t="n">
        <v>13776</v>
      </c>
      <c r="M67" s="8" t="n">
        <v>13779</v>
      </c>
      <c r="N67" s="8" t="n">
        <v>13778</v>
      </c>
      <c r="O67" s="8" t="n">
        <v>13844</v>
      </c>
      <c r="P67" s="8" t="n">
        <v>13844</v>
      </c>
      <c r="Q67" s="8" t="n">
        <v>13841</v>
      </c>
      <c r="R67" s="8" t="n">
        <v>13847</v>
      </c>
      <c r="S67" s="8" t="n">
        <v>13980</v>
      </c>
      <c r="T67" s="8" t="n">
        <v>13980</v>
      </c>
      <c r="U67" s="8" t="n">
        <v>13983</v>
      </c>
      <c r="V67" s="8" t="n">
        <v>13982</v>
      </c>
      <c r="W67" s="16">
        <f>V67</f>
        <v/>
      </c>
      <c r="X67" s="16">
        <f>W67</f>
        <v/>
      </c>
      <c r="Y67" s="16">
        <f>X67</f>
        <v/>
      </c>
      <c r="Z67" s="16">
        <f>Y67</f>
        <v/>
      </c>
      <c r="AA67" s="16">
        <f>Z67</f>
        <v/>
      </c>
      <c r="AB67" s="16">
        <f>AA67</f>
        <v/>
      </c>
      <c r="AC67" s="16">
        <f>AB67</f>
        <v/>
      </c>
      <c r="AD67" s="16">
        <f>AC67</f>
        <v/>
      </c>
      <c r="AF67" s="8" t="n">
        <v>5613</v>
      </c>
      <c r="AG67" s="8" t="n">
        <v>13736</v>
      </c>
      <c r="AH67" s="8" t="n">
        <v>13780</v>
      </c>
      <c r="AI67" s="8" t="n">
        <v>13844</v>
      </c>
      <c r="AJ67" s="8" t="n">
        <v>13980</v>
      </c>
      <c r="AK67" s="16">
        <f>W67</f>
        <v/>
      </c>
      <c r="AL67" s="16">
        <f>AA67</f>
        <v/>
      </c>
      <c r="AM67" s="16">
        <f>AJ67</f>
        <v/>
      </c>
      <c r="AN67" s="16">
        <f>AM67</f>
        <v/>
      </c>
      <c r="AO67" s="16">
        <f>AN67</f>
        <v/>
      </c>
    </row>
    <row r="68">
      <c r="C68" s="9" t="inlineStr">
        <is>
          <t>Acquired Intangible Assets, Net</t>
        </is>
      </c>
      <c r="G68" s="8" t="n">
        <v>7061</v>
      </c>
      <c r="H68" s="8" t="n">
        <v>6899</v>
      </c>
      <c r="I68" s="8" t="n">
        <v>6737</v>
      </c>
      <c r="J68" s="8" t="n">
        <v>6580</v>
      </c>
      <c r="K68" s="8" t="n">
        <v>6419</v>
      </c>
      <c r="L68" s="8" t="n">
        <v>6261</v>
      </c>
      <c r="M68" s="8" t="n">
        <v>6104</v>
      </c>
      <c r="N68" s="8" t="n">
        <v>5950</v>
      </c>
      <c r="O68" s="8" t="n">
        <v>5820</v>
      </c>
      <c r="P68" s="8" t="n">
        <v>5662</v>
      </c>
      <c r="Q68" s="8" t="n">
        <v>5505</v>
      </c>
      <c r="R68" s="8" t="n">
        <v>5397</v>
      </c>
      <c r="S68" s="8" t="n">
        <v>5302</v>
      </c>
      <c r="T68" s="8" t="n">
        <v>5136</v>
      </c>
      <c r="U68" s="8" t="n">
        <v>4971</v>
      </c>
      <c r="V68" s="8" t="n">
        <v>4807</v>
      </c>
      <c r="W68" s="16">
        <f>V68</f>
        <v/>
      </c>
      <c r="X68" s="16">
        <f>W68</f>
        <v/>
      </c>
      <c r="Y68" s="16">
        <f>X68</f>
        <v/>
      </c>
      <c r="Z68" s="16">
        <f>Y68</f>
        <v/>
      </c>
      <c r="AA68" s="16">
        <f>Z68</f>
        <v/>
      </c>
      <c r="AB68" s="16">
        <f>AA68</f>
        <v/>
      </c>
      <c r="AC68" s="16">
        <f>AB68</f>
        <v/>
      </c>
      <c r="AD68" s="16">
        <f>AC68</f>
        <v/>
      </c>
      <c r="AF68" s="8" t="n">
        <v>3252</v>
      </c>
      <c r="AG68" s="8" t="n">
        <v>7061</v>
      </c>
      <c r="AH68" s="8" t="n">
        <v>6419</v>
      </c>
      <c r="AI68" s="8" t="n">
        <v>5820</v>
      </c>
      <c r="AJ68" s="8" t="n">
        <v>5302</v>
      </c>
      <c r="AK68" s="16">
        <f>W68</f>
        <v/>
      </c>
      <c r="AL68" s="16">
        <f>AA68</f>
        <v/>
      </c>
      <c r="AM68" s="16">
        <f>AJ68</f>
        <v/>
      </c>
      <c r="AN68" s="16">
        <f>AM68</f>
        <v/>
      </c>
      <c r="AO68" s="16">
        <f>AN68</f>
        <v/>
      </c>
    </row>
    <row r="69">
      <c r="C69" s="9" t="inlineStr">
        <is>
          <t>Long-term Deferred Income Tax Assets</t>
        </is>
      </c>
      <c r="G69" s="8" t="n">
        <v>11</v>
      </c>
      <c r="H69" s="8" t="n">
        <v>10</v>
      </c>
      <c r="I69" s="8" t="n">
        <v>12</v>
      </c>
      <c r="J69" s="8" t="n">
        <v>13</v>
      </c>
      <c r="K69" s="8" t="n">
        <v>64</v>
      </c>
      <c r="L69" s="8" t="n">
        <v>214</v>
      </c>
      <c r="M69" s="8" t="n">
        <v>383</v>
      </c>
      <c r="N69" s="8" t="n">
        <v>512</v>
      </c>
      <c r="O69" s="8" t="n">
        <v>698</v>
      </c>
      <c r="P69" s="8" t="n">
        <v>798</v>
      </c>
      <c r="Q69" s="8" t="n">
        <v>934</v>
      </c>
      <c r="R69" s="8" t="n">
        <v>1062</v>
      </c>
      <c r="S69" s="8" t="n">
        <v>1222</v>
      </c>
      <c r="T69" s="8" t="n">
        <v>1173</v>
      </c>
      <c r="U69" s="8" t="n">
        <v>1106</v>
      </c>
      <c r="V69" s="8" t="n">
        <v>113</v>
      </c>
      <c r="W69" s="16">
        <f>V69</f>
        <v/>
      </c>
      <c r="X69" s="16">
        <f>W69</f>
        <v/>
      </c>
      <c r="Y69" s="16">
        <f>X69</f>
        <v/>
      </c>
      <c r="Z69" s="16">
        <f>Y69</f>
        <v/>
      </c>
      <c r="AA69" s="16">
        <f>Z69</f>
        <v/>
      </c>
      <c r="AB69" s="16">
        <f>AA69</f>
        <v/>
      </c>
      <c r="AC69" s="16">
        <f>AB69</f>
        <v/>
      </c>
      <c r="AD69" s="16">
        <f>AC69</f>
        <v/>
      </c>
      <c r="AF69" s="8" t="n">
        <v>8</v>
      </c>
      <c r="AG69" s="8" t="n">
        <v>11</v>
      </c>
      <c r="AH69" s="8" t="n">
        <v>64</v>
      </c>
      <c r="AI69" s="8" t="n">
        <v>698</v>
      </c>
      <c r="AJ69" s="8" t="n">
        <v>1222</v>
      </c>
      <c r="AK69" s="16">
        <f>W69</f>
        <v/>
      </c>
      <c r="AL69" s="16">
        <f>AA69</f>
        <v/>
      </c>
      <c r="AM69" s="16">
        <f>AJ69</f>
        <v/>
      </c>
      <c r="AN69" s="16">
        <f>AM69</f>
        <v/>
      </c>
      <c r="AO69" s="16">
        <f>AN69</f>
        <v/>
      </c>
    </row>
    <row r="70">
      <c r="C70" s="9" t="inlineStr">
        <is>
          <t>Other Non-current Assets</t>
        </is>
      </c>
      <c r="G70" s="8" t="n">
        <v>344</v>
      </c>
      <c r="H70" s="8" t="n">
        <v>331</v>
      </c>
      <c r="I70" s="8" t="n">
        <v>371</v>
      </c>
      <c r="J70" s="8" t="n">
        <v>376</v>
      </c>
      <c r="K70" s="8" t="n">
        <v>417</v>
      </c>
      <c r="L70" s="8" t="n">
        <v>429</v>
      </c>
      <c r="M70" s="8" t="n">
        <v>501</v>
      </c>
      <c r="N70" s="8" t="n">
        <v>495</v>
      </c>
      <c r="O70" s="8" t="n">
        <v>541</v>
      </c>
      <c r="P70" s="8" t="n">
        <v>527</v>
      </c>
      <c r="Q70" s="8" t="n">
        <v>669</v>
      </c>
      <c r="R70" s="8" t="n">
        <v>699</v>
      </c>
      <c r="S70" s="8" t="n">
        <v>751</v>
      </c>
      <c r="T70" s="8" t="n">
        <v>828</v>
      </c>
      <c r="U70" s="8" t="n">
        <v>825</v>
      </c>
      <c r="V70" s="8" t="n">
        <v>818</v>
      </c>
      <c r="W70" s="16">
        <f>V70</f>
        <v/>
      </c>
      <c r="X70" s="16">
        <f>W70</f>
        <v/>
      </c>
      <c r="Y70" s="16">
        <f>X70</f>
        <v/>
      </c>
      <c r="Z70" s="16">
        <f>Y70</f>
        <v/>
      </c>
      <c r="AA70" s="16">
        <f>Z70</f>
        <v/>
      </c>
      <c r="AB70" s="16">
        <f>AA70</f>
        <v/>
      </c>
      <c r="AC70" s="16">
        <f>AB70</f>
        <v/>
      </c>
      <c r="AD70" s="16">
        <f>AC70</f>
        <v/>
      </c>
      <c r="AF70" s="8" t="n">
        <v>283</v>
      </c>
      <c r="AG70" s="8" t="n">
        <v>344</v>
      </c>
      <c r="AH70" s="8" t="n">
        <v>417</v>
      </c>
      <c r="AI70" s="8" t="n">
        <v>541</v>
      </c>
      <c r="AJ70" s="8" t="n">
        <v>751</v>
      </c>
      <c r="AK70" s="16">
        <f>W70</f>
        <v/>
      </c>
      <c r="AL70" s="16">
        <f>AA70</f>
        <v/>
      </c>
      <c r="AM70" s="16">
        <f>AJ70</f>
        <v/>
      </c>
      <c r="AN70" s="16">
        <f>AM70</f>
        <v/>
      </c>
      <c r="AO70" s="16">
        <f>AN70</f>
        <v/>
      </c>
    </row>
    <row r="71">
      <c r="B71" s="6" t="inlineStr">
        <is>
          <t>Total Assets</t>
        </is>
      </c>
      <c r="G71" s="10">
        <f>G61+G64+G65+G66+G67+G68+G69+G70</f>
        <v/>
      </c>
      <c r="H71" s="10">
        <f>H61+H64+H65+H66+H67+H68+H69+H70</f>
        <v/>
      </c>
      <c r="I71" s="10">
        <f>I61+I64+I65+I66+I67+I68+I69+I70</f>
        <v/>
      </c>
      <c r="J71" s="10">
        <f>J61+J64+J65+J66+J67+J68+J69+J70</f>
        <v/>
      </c>
      <c r="K71" s="10">
        <f>K61+K64+K65+K66+K67+K68+K69+K70</f>
        <v/>
      </c>
      <c r="L71" s="10">
        <f>L61+L64+L65+L66+L67+L68+L69+L70</f>
        <v/>
      </c>
      <c r="M71" s="10">
        <f>M61+M64+M65+M66+M67+M68+M69+M70</f>
        <v/>
      </c>
      <c r="N71" s="10">
        <f>N61+N64+N65+N66+N67+N68+N69+N70</f>
        <v/>
      </c>
      <c r="O71" s="10">
        <f>O61+O64+O65+O66+O67+O68+O69+O70</f>
        <v/>
      </c>
      <c r="P71" s="10">
        <f>P61+P64+P65+P66+P67+P68+P69+P70</f>
        <v/>
      </c>
      <c r="Q71" s="10">
        <f>Q61+Q64+Q65+Q66+Q67+Q68+Q69+Q70</f>
        <v/>
      </c>
      <c r="R71" s="10">
        <f>R61+R64+R65+R66+R67+R68+R69+R70</f>
        <v/>
      </c>
      <c r="S71" s="10">
        <f>S61+S64+S65+S66+S67+S68+S69+S70</f>
        <v/>
      </c>
      <c r="T71" s="10">
        <f>T61+T64+T65+T66+T67+T68+T69+T70</f>
        <v/>
      </c>
      <c r="U71" s="10">
        <f>U61+U64+U65+U66+U67+U68+U69+U70</f>
        <v/>
      </c>
      <c r="V71" s="10">
        <f>V61+V64+V65+V66+V67+V68+V69+V70</f>
        <v/>
      </c>
      <c r="W71" s="10">
        <f>W61+W64+W65+W66+W67+W68+W69+W70</f>
        <v/>
      </c>
      <c r="X71" s="10">
        <f>X61+X64+X65+X66+X67+X68+X69+X70</f>
        <v/>
      </c>
      <c r="Y71" s="10">
        <f>Y61+Y64+Y65+Y66+Y67+Y68+Y69+Y70</f>
        <v/>
      </c>
      <c r="Z71" s="10">
        <f>Z61+Z64+Z65+Z66+Z67+Z68+Z69+Z70</f>
        <v/>
      </c>
      <c r="AA71" s="10">
        <f>AA61+AA64+AA65+AA66+AA67+AA68+AA69+AA70</f>
        <v/>
      </c>
      <c r="AB71" s="10">
        <f>AB61+AB64+AB65+AB66+AB67+AB68+AB69+AB70</f>
        <v/>
      </c>
      <c r="AC71" s="10">
        <f>AC61+AC64+AC65+AC66+AC67+AC68+AC69+AC70</f>
        <v/>
      </c>
      <c r="AD71" s="10">
        <f>AD61+AD64+AD65+AD66+AD67+AD68+AD69+AD70</f>
        <v/>
      </c>
      <c r="AF71" s="10">
        <f>AF61+AF64+AF65+AF66+AF67+AF68+AF69+AF70</f>
        <v/>
      </c>
      <c r="AG71" s="10">
        <f>AG61+AG64+AG65+AG66+AG67+AG68+AG69+AG70</f>
        <v/>
      </c>
      <c r="AH71" s="10">
        <f>AH61+AH64+AH65+AH66+AH67+AH68+AH69+AH70</f>
        <v/>
      </c>
      <c r="AI71" s="10">
        <f>AI61+AI64+AI65+AI66+AI67+AI68+AI69+AI70</f>
        <v/>
      </c>
      <c r="AJ71" s="10">
        <f>AJ61+AJ64+AJ65+AJ66+AJ67+AJ68+AJ69+AJ70</f>
        <v/>
      </c>
      <c r="AK71" s="10">
        <f>W71</f>
        <v/>
      </c>
      <c r="AL71" s="10">
        <f>AA71</f>
        <v/>
      </c>
      <c r="AM71" s="10">
        <f>AM61+AM64+AM65+AM66+AM67+AM68+AM69+AM70</f>
        <v/>
      </c>
      <c r="AN71" s="10">
        <f>AN61+AN64+AN65+AN66+AN67+AN68+AN69+AN70</f>
        <v/>
      </c>
      <c r="AO71" s="10">
        <f>AO61+AO64+AO65+AO66+AO67+AO68+AO69+AO70</f>
        <v/>
      </c>
    </row>
    <row r="72">
      <c r="D72" s="3" t="inlineStr">
        <is>
          <t>Recon: Total Assets</t>
        </is>
      </c>
      <c r="G72" s="21">
        <f>IF(_reported!G16="","",G71-_reported!G16)</f>
        <v/>
      </c>
      <c r="H72" s="21">
        <f>IF(_reported!H16="","",H71-_reported!H16)</f>
        <v/>
      </c>
      <c r="I72" s="21">
        <f>IF(_reported!I16="","",I71-_reported!I16)</f>
        <v/>
      </c>
      <c r="J72" s="21">
        <f>IF(_reported!J16="","",J71-_reported!J16)</f>
        <v/>
      </c>
      <c r="K72" s="21">
        <f>IF(_reported!K16="","",K71-_reported!K16)</f>
        <v/>
      </c>
      <c r="L72" s="21">
        <f>IF(_reported!L16="","",L71-_reported!L16)</f>
        <v/>
      </c>
      <c r="M72" s="21">
        <f>IF(_reported!M16="","",M71-_reported!M16)</f>
        <v/>
      </c>
      <c r="N72" s="21">
        <f>IF(_reported!N16="","",N71-_reported!N16)</f>
        <v/>
      </c>
      <c r="O72" s="21">
        <f>IF(_reported!O16="","",O71-_reported!O16)</f>
        <v/>
      </c>
      <c r="P72" s="21">
        <f>IF(_reported!P16="","",P71-_reported!P16)</f>
        <v/>
      </c>
      <c r="Q72" s="21">
        <f>IF(_reported!Q16="","",Q71-_reported!Q16)</f>
        <v/>
      </c>
      <c r="R72" s="21">
        <f>IF(_reported!R16="","",R71-_reported!R16)</f>
        <v/>
      </c>
      <c r="S72" s="21">
        <f>IF(_reported!S16="","",S71-_reported!S16)</f>
        <v/>
      </c>
      <c r="T72" s="21">
        <f>IF(_reported!T16="","",T71-_reported!T16)</f>
        <v/>
      </c>
      <c r="U72" s="21">
        <f>IF(_reported!U16="","",U71-_reported!U16)</f>
        <v/>
      </c>
      <c r="V72" s="21">
        <f>IF(_reported!V16="","",V71-_reported!V16)</f>
        <v/>
      </c>
      <c r="AF72" s="21">
        <f>IF(_reported!AF16="","",AF71-_reported!AF16)</f>
        <v/>
      </c>
      <c r="AG72" s="21">
        <f>IF(_reported!AG16="","",AG71-_reported!AG16)</f>
        <v/>
      </c>
      <c r="AH72" s="21">
        <f>IF(_reported!AH16="","",AH71-_reported!AH16)</f>
        <v/>
      </c>
      <c r="AI72" s="21">
        <f>IF(_reported!AI16="","",AI71-_reported!AI16)</f>
        <v/>
      </c>
      <c r="AJ72" s="21">
        <f>IF(_reported!AJ16="","",AJ71-_reported!AJ16)</f>
        <v/>
      </c>
    </row>
    <row r="73"/>
    <row r="74">
      <c r="C74" s="9" t="inlineStr">
        <is>
          <t>Short-term Debt</t>
        </is>
      </c>
      <c r="G74" s="8" t="n">
        <v>499</v>
      </c>
      <c r="H74" s="8" t="n">
        <v>499</v>
      </c>
      <c r="I74" s="8" t="n">
        <v>501</v>
      </c>
      <c r="J74" s="8" t="n">
        <v>501</v>
      </c>
      <c r="K74" s="8" t="n">
        <v>0</v>
      </c>
      <c r="O74" s="8" t="n">
        <v>499</v>
      </c>
      <c r="P74" s="8" t="n">
        <v>499</v>
      </c>
      <c r="Q74" s="8" t="n">
        <v>500</v>
      </c>
      <c r="R74" s="8" t="n">
        <v>500</v>
      </c>
      <c r="S74" s="8" t="n">
        <v>0</v>
      </c>
      <c r="T74" s="8" t="n">
        <v>749</v>
      </c>
      <c r="U74" s="8" t="n">
        <v>749</v>
      </c>
      <c r="V74" s="8" t="n">
        <v>750</v>
      </c>
      <c r="W74" s="16">
        <f>V74</f>
        <v/>
      </c>
      <c r="X74" s="16">
        <f>W74</f>
        <v/>
      </c>
      <c r="Y74" s="16">
        <f>X74</f>
        <v/>
      </c>
      <c r="Z74" s="16">
        <f>Y74</f>
        <v/>
      </c>
      <c r="AA74" s="16">
        <f>Z74</f>
        <v/>
      </c>
      <c r="AB74" s="16">
        <f>AA74</f>
        <v/>
      </c>
      <c r="AC74" s="16">
        <f>AB74</f>
        <v/>
      </c>
      <c r="AD74" s="16">
        <f>AC74</f>
        <v/>
      </c>
      <c r="AF74" s="8" t="n">
        <v>0</v>
      </c>
      <c r="AG74" s="8" t="n">
        <v>499</v>
      </c>
      <c r="AH74" s="8" t="n">
        <v>0</v>
      </c>
      <c r="AI74" s="8" t="n">
        <v>499</v>
      </c>
      <c r="AJ74" s="8" t="n">
        <v>0</v>
      </c>
      <c r="AK74" s="16">
        <f>W74</f>
        <v/>
      </c>
      <c r="AL74" s="16">
        <f>AA74</f>
        <v/>
      </c>
      <c r="AM74" s="16">
        <f>AJ74</f>
        <v/>
      </c>
      <c r="AN74" s="16">
        <f>AM74</f>
        <v/>
      </c>
      <c r="AO74" s="16">
        <f>AN74</f>
        <v/>
      </c>
    </row>
    <row r="75">
      <c r="C75" s="9" t="inlineStr">
        <is>
          <t>Accounts Payable</t>
        </is>
      </c>
      <c r="G75" s="8" t="n">
        <v>737</v>
      </c>
      <c r="H75" s="8" t="n">
        <v>670</v>
      </c>
      <c r="I75" s="8" t="n">
        <v>811</v>
      </c>
      <c r="J75" s="8" t="n">
        <v>921</v>
      </c>
      <c r="K75" s="8" t="n">
        <v>638</v>
      </c>
      <c r="L75" s="8" t="n">
        <v>630</v>
      </c>
      <c r="M75" s="8" t="n">
        <v>789</v>
      </c>
      <c r="N75" s="8" t="n">
        <v>886</v>
      </c>
      <c r="O75" s="8" t="n">
        <v>721</v>
      </c>
      <c r="P75" s="8" t="n">
        <v>652</v>
      </c>
      <c r="Q75" s="8" t="n">
        <v>1038</v>
      </c>
      <c r="R75" s="8" t="n">
        <v>1002</v>
      </c>
      <c r="S75" s="8" t="n">
        <v>792</v>
      </c>
      <c r="T75" s="8" t="n">
        <v>670</v>
      </c>
      <c r="U75" s="8" t="n">
        <v>946</v>
      </c>
      <c r="V75" s="8" t="n">
        <v>1096</v>
      </c>
      <c r="W75" s="16">
        <f>-(W18)*0.32</f>
        <v/>
      </c>
      <c r="X75" s="16">
        <f>-(X18)*0.32</f>
        <v/>
      </c>
      <c r="Y75" s="16">
        <f>-(Y18)*0.32</f>
        <v/>
      </c>
      <c r="Z75" s="16">
        <f>-(Z18)*0.32</f>
        <v/>
      </c>
      <c r="AA75" s="16">
        <f>-(AA18)*0.32</f>
        <v/>
      </c>
      <c r="AB75" s="16">
        <f>-(AB18)*0.32</f>
        <v/>
      </c>
      <c r="AC75" s="16">
        <f>-(AC18)*0.32</f>
        <v/>
      </c>
      <c r="AD75" s="16">
        <f>-(AD18)*0.32</f>
        <v/>
      </c>
      <c r="AF75" s="8" t="n">
        <v>623</v>
      </c>
      <c r="AG75" s="8" t="n">
        <v>737</v>
      </c>
      <c r="AH75" s="8" t="n">
        <v>638</v>
      </c>
      <c r="AI75" s="8" t="n">
        <v>721</v>
      </c>
      <c r="AJ75" s="8" t="n">
        <v>792</v>
      </c>
      <c r="AK75" s="16">
        <f>W75</f>
        <v/>
      </c>
      <c r="AL75" s="16">
        <f>AA75</f>
        <v/>
      </c>
      <c r="AM75" s="16">
        <f>-(AM18)*0.32*0.25</f>
        <v/>
      </c>
      <c r="AN75" s="16">
        <f>-(AN18)*0.32*0.25</f>
        <v/>
      </c>
      <c r="AO75" s="16">
        <f>-(AO18)*0.32*0.25</f>
        <v/>
      </c>
    </row>
    <row r="76">
      <c r="C76" s="9" t="inlineStr">
        <is>
          <t>Accrued Compensation + Related Liabilities</t>
        </is>
      </c>
      <c r="G76" s="8" t="n">
        <v>576</v>
      </c>
      <c r="H76" s="8" t="n">
        <v>401</v>
      </c>
      <c r="I76" s="8" t="n">
        <v>502</v>
      </c>
      <c r="J76" s="8" t="n">
        <v>625</v>
      </c>
      <c r="K76" s="8" t="n">
        <v>665</v>
      </c>
      <c r="L76" s="8" t="n">
        <v>439</v>
      </c>
      <c r="M76" s="8" t="n">
        <v>547</v>
      </c>
      <c r="N76" s="8" t="n">
        <v>689</v>
      </c>
      <c r="O76" s="8" t="n">
        <v>921</v>
      </c>
      <c r="P76" s="8" t="n">
        <v>413</v>
      </c>
      <c r="Q76" s="8" t="n">
        <v>623</v>
      </c>
      <c r="R76" s="8" t="n">
        <v>747</v>
      </c>
      <c r="S76" s="8" t="n">
        <v>858</v>
      </c>
      <c r="T76" s="8" t="n">
        <v>479</v>
      </c>
      <c r="U76" s="8" t="n">
        <v>702</v>
      </c>
      <c r="V76" s="8" t="n">
        <v>766</v>
      </c>
      <c r="W76" s="16">
        <f>W12*0.11</f>
        <v/>
      </c>
      <c r="X76" s="16">
        <f>X12*0.11</f>
        <v/>
      </c>
      <c r="Y76" s="16">
        <f>Y12*0.11</f>
        <v/>
      </c>
      <c r="Z76" s="16">
        <f>Z12*0.11</f>
        <v/>
      </c>
      <c r="AA76" s="16">
        <f>AA12*0.11</f>
        <v/>
      </c>
      <c r="AB76" s="16">
        <f>AB12*0.11</f>
        <v/>
      </c>
      <c r="AC76" s="16">
        <f>AC12*0.11</f>
        <v/>
      </c>
      <c r="AD76" s="16">
        <f>AD12*0.11</f>
        <v/>
      </c>
      <c r="AF76" s="8" t="n">
        <v>530</v>
      </c>
      <c r="AG76" s="8" t="n">
        <v>576</v>
      </c>
      <c r="AH76" s="8" t="n">
        <v>665</v>
      </c>
      <c r="AI76" s="8" t="n">
        <v>921</v>
      </c>
      <c r="AJ76" s="8" t="n">
        <v>858</v>
      </c>
      <c r="AK76" s="16">
        <f>W76</f>
        <v/>
      </c>
      <c r="AL76" s="16">
        <f>AA76</f>
        <v/>
      </c>
      <c r="AM76" s="16">
        <f>AM12*0.11*0.25</f>
        <v/>
      </c>
      <c r="AN76" s="16">
        <f>AN12*0.11*0.25</f>
        <v/>
      </c>
      <c r="AO76" s="16">
        <f>AO12*0.11*0.25</f>
        <v/>
      </c>
    </row>
    <row r="77">
      <c r="C77" s="9" t="inlineStr">
        <is>
          <t>Deferred Revenue</t>
        </is>
      </c>
      <c r="G77" s="8" t="n">
        <v>808</v>
      </c>
      <c r="H77" s="8" t="n">
        <v>698</v>
      </c>
      <c r="I77" s="8" t="n">
        <v>852</v>
      </c>
      <c r="J77" s="8" t="n">
        <v>829</v>
      </c>
      <c r="K77" s="8" t="n">
        <v>921</v>
      </c>
      <c r="L77" s="8" t="n">
        <v>763</v>
      </c>
      <c r="M77" s="8" t="n">
        <v>887</v>
      </c>
      <c r="N77" s="8" t="n">
        <v>843</v>
      </c>
      <c r="O77" s="8" t="n">
        <v>872</v>
      </c>
      <c r="P77" s="8" t="n">
        <v>892</v>
      </c>
      <c r="Q77" s="8" t="n">
        <v>1025</v>
      </c>
      <c r="R77" s="8" t="n">
        <v>957</v>
      </c>
      <c r="S77" s="8" t="n">
        <v>1019</v>
      </c>
      <c r="T77" s="8" t="n">
        <v>1045</v>
      </c>
      <c r="U77" s="8" t="n">
        <v>1141</v>
      </c>
      <c r="V77" s="8" t="n">
        <v>1055</v>
      </c>
      <c r="W77" s="16">
        <f>W12*0.135</f>
        <v/>
      </c>
      <c r="X77" s="16">
        <f>X12*0.135</f>
        <v/>
      </c>
      <c r="Y77" s="16">
        <f>Y12*0.135</f>
        <v/>
      </c>
      <c r="Z77" s="16">
        <f>Z12*0.135</f>
        <v/>
      </c>
      <c r="AA77" s="16">
        <f>AA12*0.135</f>
        <v/>
      </c>
      <c r="AB77" s="16">
        <f>AB12*0.135</f>
        <v/>
      </c>
      <c r="AC77" s="16">
        <f>AC12*0.135</f>
        <v/>
      </c>
      <c r="AD77" s="16">
        <f>AD12*0.135</f>
        <v/>
      </c>
      <c r="AF77" s="8" t="n">
        <v>684</v>
      </c>
      <c r="AG77" s="8" t="n">
        <v>808</v>
      </c>
      <c r="AH77" s="8" t="n">
        <v>921</v>
      </c>
      <c r="AI77" s="8" t="n">
        <v>872</v>
      </c>
      <c r="AJ77" s="8" t="n">
        <v>1019</v>
      </c>
      <c r="AK77" s="16">
        <f>W77</f>
        <v/>
      </c>
      <c r="AL77" s="16">
        <f>AA77</f>
        <v/>
      </c>
      <c r="AM77" s="16">
        <f>AM12*0.135*0.25</f>
        <v/>
      </c>
      <c r="AN77" s="16">
        <f>AN12*0.135*0.25</f>
        <v/>
      </c>
      <c r="AO77" s="16">
        <f>AO12*0.135*0.25</f>
        <v/>
      </c>
    </row>
    <row r="78">
      <c r="C78" s="9" t="inlineStr">
        <is>
          <t>Income Taxes Payable</t>
        </is>
      </c>
      <c r="J78" s="8" t="n">
        <v>653</v>
      </c>
      <c r="K78" s="8" t="n">
        <v>698</v>
      </c>
      <c r="L78" s="8" t="n">
        <v>133</v>
      </c>
      <c r="M78" s="8" t="n">
        <v>1</v>
      </c>
      <c r="N78" s="8" t="n">
        <v>437</v>
      </c>
      <c r="O78" s="8" t="n">
        <v>8</v>
      </c>
      <c r="P78" s="8" t="n">
        <v>21</v>
      </c>
      <c r="R78" s="8" t="n">
        <v>614</v>
      </c>
      <c r="U78" s="8" t="n">
        <v>82</v>
      </c>
      <c r="W78" s="16">
        <f>V78</f>
        <v/>
      </c>
      <c r="X78" s="16">
        <f>W78</f>
        <v/>
      </c>
      <c r="Y78" s="16">
        <f>X78</f>
        <v/>
      </c>
      <c r="Z78" s="16">
        <f>Y78</f>
        <v/>
      </c>
      <c r="AA78" s="16">
        <f>Z78</f>
        <v/>
      </c>
      <c r="AB78" s="16">
        <f>AA78</f>
        <v/>
      </c>
      <c r="AC78" s="16">
        <f>AB78</f>
        <v/>
      </c>
      <c r="AD78" s="16">
        <f>AC78</f>
        <v/>
      </c>
      <c r="AH78" s="8" t="n">
        <v>698</v>
      </c>
      <c r="AI78" s="8" t="n">
        <v>8</v>
      </c>
      <c r="AK78" s="16">
        <f>W78</f>
        <v/>
      </c>
      <c r="AL78" s="16">
        <f>AA78</f>
        <v/>
      </c>
      <c r="AM78" s="16">
        <f>AJ78</f>
        <v/>
      </c>
      <c r="AN78" s="16">
        <f>AM78</f>
        <v/>
      </c>
      <c r="AO78" s="16">
        <f>AN78</f>
        <v/>
      </c>
    </row>
    <row r="79">
      <c r="C79" s="9" t="inlineStr">
        <is>
          <t>Other Current Liabilities</t>
        </is>
      </c>
      <c r="G79" s="8" t="n">
        <v>579</v>
      </c>
      <c r="H79" s="8" t="n">
        <v>589</v>
      </c>
      <c r="I79" s="8" t="n">
        <v>820</v>
      </c>
      <c r="J79" s="8" t="n">
        <v>498</v>
      </c>
      <c r="K79" s="8" t="n">
        <v>448</v>
      </c>
      <c r="L79" s="8" t="n">
        <v>506</v>
      </c>
      <c r="M79" s="8" t="n">
        <v>602</v>
      </c>
      <c r="N79" s="8" t="n">
        <v>586</v>
      </c>
      <c r="O79" s="8" t="n">
        <v>549</v>
      </c>
      <c r="P79" s="8" t="n">
        <v>536</v>
      </c>
      <c r="Q79" s="8" t="n">
        <v>659</v>
      </c>
      <c r="R79" s="8" t="n">
        <v>613</v>
      </c>
      <c r="S79" s="8" t="n">
        <v>625</v>
      </c>
      <c r="T79" s="8" t="n">
        <v>658</v>
      </c>
      <c r="U79" s="8" t="n">
        <v>810</v>
      </c>
      <c r="V79" s="8" t="n">
        <v>849</v>
      </c>
      <c r="W79" s="16">
        <f>W12*0.125</f>
        <v/>
      </c>
      <c r="X79" s="16">
        <f>X12*0.125</f>
        <v/>
      </c>
      <c r="Y79" s="16">
        <f>Y12*0.125</f>
        <v/>
      </c>
      <c r="Z79" s="16">
        <f>Z12*0.125</f>
        <v/>
      </c>
      <c r="AA79" s="16">
        <f>AA12*0.125</f>
        <v/>
      </c>
      <c r="AB79" s="16">
        <f>AB12*0.125</f>
        <v/>
      </c>
      <c r="AC79" s="16">
        <f>AC12*0.125</f>
        <v/>
      </c>
      <c r="AD79" s="16">
        <f>AD12*0.125</f>
        <v/>
      </c>
      <c r="AF79" s="8" t="n">
        <v>361</v>
      </c>
      <c r="AG79" s="8" t="n">
        <v>579</v>
      </c>
      <c r="AH79" s="8" t="n">
        <v>448</v>
      </c>
      <c r="AI79" s="8" t="n">
        <v>549</v>
      </c>
      <c r="AJ79" s="8" t="n">
        <v>625</v>
      </c>
      <c r="AK79" s="16">
        <f>W79</f>
        <v/>
      </c>
      <c r="AL79" s="16">
        <f>AA79</f>
        <v/>
      </c>
      <c r="AM79" s="16">
        <f>AM12*0.125*0.25</f>
        <v/>
      </c>
      <c r="AN79" s="16">
        <f>AN12*0.125*0.25</f>
        <v/>
      </c>
      <c r="AO79" s="16">
        <f>AO12*0.125*0.25</f>
        <v/>
      </c>
    </row>
    <row r="80">
      <c r="C80" s="9" t="inlineStr">
        <is>
          <t>Funds Payable + Amounts Due to Customers</t>
        </is>
      </c>
      <c r="G80" s="8" t="n">
        <v>431</v>
      </c>
      <c r="H80" s="8" t="n">
        <v>468</v>
      </c>
      <c r="I80" s="8" t="n">
        <v>376</v>
      </c>
      <c r="J80" s="8" t="n">
        <v>388</v>
      </c>
      <c r="K80" s="8" t="n">
        <v>420</v>
      </c>
      <c r="L80" s="8" t="n">
        <v>2525</v>
      </c>
      <c r="M80" s="8" t="n">
        <v>3390</v>
      </c>
      <c r="N80" s="8" t="n">
        <v>2722</v>
      </c>
      <c r="O80" s="8" t="n">
        <v>3921</v>
      </c>
      <c r="P80" s="8" t="n">
        <v>5606</v>
      </c>
      <c r="Q80" s="8" t="n">
        <v>3334</v>
      </c>
      <c r="R80" s="8" t="n">
        <v>5221</v>
      </c>
      <c r="S80" s="8" t="n">
        <v>7076</v>
      </c>
      <c r="T80" s="8" t="n">
        <v>3918</v>
      </c>
      <c r="U80" s="8" t="n">
        <v>4414</v>
      </c>
      <c r="V80" s="8" t="n">
        <v>7760</v>
      </c>
      <c r="W80" s="16">
        <f>V80</f>
        <v/>
      </c>
      <c r="X80" s="16">
        <f>W80</f>
        <v/>
      </c>
      <c r="Y80" s="16">
        <f>X80</f>
        <v/>
      </c>
      <c r="Z80" s="16">
        <f>Y80</f>
        <v/>
      </c>
      <c r="AA80" s="16">
        <f>Z80</f>
        <v/>
      </c>
      <c r="AB80" s="16">
        <f>AA80</f>
        <v/>
      </c>
      <c r="AC80" s="16">
        <f>AB80</f>
        <v/>
      </c>
      <c r="AD80" s="16">
        <f>AC80</f>
        <v/>
      </c>
      <c r="AF80" s="8" t="n">
        <v>457</v>
      </c>
      <c r="AG80" s="8" t="n">
        <v>431</v>
      </c>
      <c r="AH80" s="8" t="n">
        <v>420</v>
      </c>
      <c r="AI80" s="8" t="n">
        <v>3921</v>
      </c>
      <c r="AJ80" s="8" t="n">
        <v>7076</v>
      </c>
      <c r="AK80" s="16">
        <f>W80</f>
        <v/>
      </c>
      <c r="AL80" s="16">
        <f>AA80</f>
        <v/>
      </c>
      <c r="AM80" s="16">
        <f>AJ80</f>
        <v/>
      </c>
      <c r="AN80" s="16">
        <f>AM80</f>
        <v/>
      </c>
      <c r="AO80" s="16">
        <f>AN80</f>
        <v/>
      </c>
    </row>
    <row r="81">
      <c r="B81" s="6" t="inlineStr">
        <is>
          <t>Total Current Liabilities</t>
        </is>
      </c>
      <c r="G81" s="10">
        <f>G74+G75+G76+G77+G78+G79+G80</f>
        <v/>
      </c>
      <c r="H81" s="10">
        <f>H74+H75+H76+H77+H78+H79+H80</f>
        <v/>
      </c>
      <c r="I81" s="10">
        <f>I74+I75+I76+I77+I78+I79+I80</f>
        <v/>
      </c>
      <c r="J81" s="10">
        <f>J74+J75+J76+J77+J78+J79+J80</f>
        <v/>
      </c>
      <c r="K81" s="10">
        <f>K74+K75+K76+K77+K78+K79+K80</f>
        <v/>
      </c>
      <c r="L81" s="10">
        <f>L74+L75+L76+L77+L78+L79+L80</f>
        <v/>
      </c>
      <c r="M81" s="10">
        <f>M74+M75+M76+M77+M78+M79+M80</f>
        <v/>
      </c>
      <c r="N81" s="10">
        <f>N74+N75+N76+N77+N78+N79+N80</f>
        <v/>
      </c>
      <c r="O81" s="10">
        <f>O74+O75+O76+O77+O78+O79+O80</f>
        <v/>
      </c>
      <c r="P81" s="10">
        <f>P74+P75+P76+P77+P78+P79+P80</f>
        <v/>
      </c>
      <c r="Q81" s="10">
        <f>Q74+Q75+Q76+Q77+Q78+Q79+Q80</f>
        <v/>
      </c>
      <c r="R81" s="10">
        <f>R74+R75+R76+R77+R78+R79+R80</f>
        <v/>
      </c>
      <c r="S81" s="10">
        <f>S74+S75+S76+S77+S78+S79+S80</f>
        <v/>
      </c>
      <c r="T81" s="10">
        <f>T74+T75+T76+T77+T78+T79+T80</f>
        <v/>
      </c>
      <c r="U81" s="10">
        <f>U74+U75+U76+U77+U78+U79+U80</f>
        <v/>
      </c>
      <c r="V81" s="10">
        <f>V74+V75+V76+V77+V78+V79+V80</f>
        <v/>
      </c>
      <c r="W81" s="10">
        <f>W74+W75+W76+W77+W78+W79+W80</f>
        <v/>
      </c>
      <c r="X81" s="10">
        <f>X74+X75+X76+X77+X78+X79+X80</f>
        <v/>
      </c>
      <c r="Y81" s="10">
        <f>Y74+Y75+Y76+Y77+Y78+Y79+Y80</f>
        <v/>
      </c>
      <c r="Z81" s="10">
        <f>Z74+Z75+Z76+Z77+Z78+Z79+Z80</f>
        <v/>
      </c>
      <c r="AA81" s="10">
        <f>AA74+AA75+AA76+AA77+AA78+AA79+AA80</f>
        <v/>
      </c>
      <c r="AB81" s="10">
        <f>AB74+AB75+AB76+AB77+AB78+AB79+AB80</f>
        <v/>
      </c>
      <c r="AC81" s="10">
        <f>AC74+AC75+AC76+AC77+AC78+AC79+AC80</f>
        <v/>
      </c>
      <c r="AD81" s="10">
        <f>AD74+AD75+AD76+AD77+AD78+AD79+AD80</f>
        <v/>
      </c>
      <c r="AF81" s="10">
        <f>AF74+AF75+AF76+AF77+AF78+AF79+AF80</f>
        <v/>
      </c>
      <c r="AG81" s="10">
        <f>AG74+AG75+AG76+AG77+AG78+AG79+AG80</f>
        <v/>
      </c>
      <c r="AH81" s="10">
        <f>AH74+AH75+AH76+AH77+AH78+AH79+AH80</f>
        <v/>
      </c>
      <c r="AI81" s="10">
        <f>AI74+AI75+AI76+AI77+AI78+AI79+AI80</f>
        <v/>
      </c>
      <c r="AJ81" s="10">
        <f>AJ74+AJ75+AJ76+AJ77+AJ78+AJ79+AJ80</f>
        <v/>
      </c>
      <c r="AK81" s="10">
        <f>W81</f>
        <v/>
      </c>
      <c r="AL81" s="10">
        <f>AA81</f>
        <v/>
      </c>
      <c r="AM81" s="10">
        <f>AM74+AM75+AM76+AM77+AM78+AM79+AM80</f>
        <v/>
      </c>
      <c r="AN81" s="10">
        <f>AN74+AN75+AN76+AN77+AN78+AN79+AN80</f>
        <v/>
      </c>
      <c r="AO81" s="10">
        <f>AO74+AO75+AO76+AO77+AO78+AO79+AO80</f>
        <v/>
      </c>
    </row>
    <row r="82">
      <c r="D82" s="3" t="inlineStr">
        <is>
          <t>Recon: Total CL</t>
        </is>
      </c>
      <c r="G82" s="21">
        <f>IF(_reported!G17="","",G81-_reported!G17)</f>
        <v/>
      </c>
      <c r="H82" s="21">
        <f>IF(_reported!H17="","",H81-_reported!H17)</f>
        <v/>
      </c>
      <c r="I82" s="21">
        <f>IF(_reported!I17="","",I81-_reported!I17)</f>
        <v/>
      </c>
      <c r="J82" s="21">
        <f>IF(_reported!J17="","",J81-_reported!J17)</f>
        <v/>
      </c>
      <c r="K82" s="21">
        <f>IF(_reported!K17="","",K81-_reported!K17)</f>
        <v/>
      </c>
      <c r="L82" s="21">
        <f>IF(_reported!L17="","",L81-_reported!L17)</f>
        <v/>
      </c>
      <c r="M82" s="21">
        <f>IF(_reported!M17="","",M81-_reported!M17)</f>
        <v/>
      </c>
      <c r="N82" s="21">
        <f>IF(_reported!N17="","",N81-_reported!N17)</f>
        <v/>
      </c>
      <c r="O82" s="21">
        <f>IF(_reported!O17="","",O81-_reported!O17)</f>
        <v/>
      </c>
      <c r="P82" s="21">
        <f>IF(_reported!P17="","",P81-_reported!P17)</f>
        <v/>
      </c>
      <c r="Q82" s="21">
        <f>IF(_reported!Q17="","",Q81-_reported!Q17)</f>
        <v/>
      </c>
      <c r="R82" s="21">
        <f>IF(_reported!R17="","",R81-_reported!R17)</f>
        <v/>
      </c>
      <c r="S82" s="21">
        <f>IF(_reported!S17="","",S81-_reported!S17)</f>
        <v/>
      </c>
      <c r="T82" s="21">
        <f>IF(_reported!T17="","",T81-_reported!T17)</f>
        <v/>
      </c>
      <c r="U82" s="21">
        <f>IF(_reported!U17="","",U81-_reported!U17)</f>
        <v/>
      </c>
      <c r="V82" s="21">
        <f>IF(_reported!V17="","",V81-_reported!V17)</f>
        <v/>
      </c>
      <c r="AF82" s="21">
        <f>IF(_reported!AF17="","",AF81-_reported!AF17)</f>
        <v/>
      </c>
      <c r="AG82" s="21">
        <f>IF(_reported!AG17="","",AG81-_reported!AG17)</f>
        <v/>
      </c>
      <c r="AH82" s="21">
        <f>IF(_reported!AH17="","",AH81-_reported!AH17)</f>
        <v/>
      </c>
      <c r="AI82" s="21">
        <f>IF(_reported!AI17="","",AI81-_reported!AI17)</f>
        <v/>
      </c>
      <c r="AJ82" s="21">
        <f>IF(_reported!AJ17="","",AJ81-_reported!AJ17)</f>
        <v/>
      </c>
    </row>
    <row r="83"/>
    <row r="84">
      <c r="C84" s="9" t="inlineStr">
        <is>
          <t>Long-term Debt</t>
        </is>
      </c>
      <c r="G84" s="8" t="n">
        <v>6415</v>
      </c>
      <c r="H84" s="8" t="n">
        <v>6486</v>
      </c>
      <c r="I84" s="8" t="n">
        <v>6576</v>
      </c>
      <c r="J84" s="8" t="n">
        <v>6109</v>
      </c>
      <c r="K84" s="8" t="n">
        <v>6120</v>
      </c>
      <c r="L84" s="8" t="n">
        <v>5879</v>
      </c>
      <c r="M84" s="8" t="n">
        <v>5950</v>
      </c>
      <c r="N84" s="8" t="n">
        <v>5952</v>
      </c>
      <c r="O84" s="8" t="n">
        <v>5539</v>
      </c>
      <c r="P84" s="8" t="n">
        <v>5625</v>
      </c>
      <c r="Q84" s="8" t="n">
        <v>5760</v>
      </c>
      <c r="R84" s="8" t="n">
        <v>5906</v>
      </c>
      <c r="S84" s="8" t="n">
        <v>5973</v>
      </c>
      <c r="T84" s="8" t="n">
        <v>5391</v>
      </c>
      <c r="U84" s="8" t="n">
        <v>5411</v>
      </c>
      <c r="V84" s="8" t="n">
        <v>5412</v>
      </c>
      <c r="W84" s="16">
        <f>V84</f>
        <v/>
      </c>
      <c r="X84" s="16">
        <f>W84</f>
        <v/>
      </c>
      <c r="Y84" s="16">
        <f>X84</f>
        <v/>
      </c>
      <c r="Z84" s="16">
        <f>Y84</f>
        <v/>
      </c>
      <c r="AA84" s="16">
        <f>Z84</f>
        <v/>
      </c>
      <c r="AB84" s="16">
        <f>AA84</f>
        <v/>
      </c>
      <c r="AC84" s="16">
        <f>AB84</f>
        <v/>
      </c>
      <c r="AD84" s="16">
        <f>AC84</f>
        <v/>
      </c>
      <c r="AF84" s="8" t="n">
        <v>2034</v>
      </c>
      <c r="AG84" s="8" t="n">
        <v>6415</v>
      </c>
      <c r="AH84" s="8" t="n">
        <v>6120</v>
      </c>
      <c r="AI84" s="8" t="n">
        <v>5539</v>
      </c>
      <c r="AJ84" s="8" t="n">
        <v>5973</v>
      </c>
      <c r="AK84" s="16">
        <f>W84</f>
        <v/>
      </c>
      <c r="AL84" s="16">
        <f>AA84</f>
        <v/>
      </c>
      <c r="AM84" s="16">
        <f>AJ84</f>
        <v/>
      </c>
      <c r="AN84" s="16">
        <f>AM84</f>
        <v/>
      </c>
      <c r="AO84" s="16">
        <f>AN84</f>
        <v/>
      </c>
    </row>
    <row r="85">
      <c r="C85" s="9" t="inlineStr">
        <is>
          <t>Long-term Deferred Income Tax Liabilities</t>
        </is>
      </c>
      <c r="G85" s="8" t="n">
        <v>619</v>
      </c>
      <c r="H85" s="8" t="n">
        <v>588</v>
      </c>
      <c r="I85" s="8" t="n">
        <v>320</v>
      </c>
      <c r="J85" s="8" t="n">
        <v>190</v>
      </c>
      <c r="K85" s="8" t="n">
        <v>4</v>
      </c>
      <c r="L85" s="8" t="n">
        <v>3</v>
      </c>
      <c r="M85" s="8" t="n">
        <v>3</v>
      </c>
      <c r="N85" s="8" t="n">
        <v>3</v>
      </c>
      <c r="W85" s="16">
        <f>V85</f>
        <v/>
      </c>
      <c r="X85" s="16">
        <f>W85</f>
        <v/>
      </c>
      <c r="Y85" s="16">
        <f>X85</f>
        <v/>
      </c>
      <c r="Z85" s="16">
        <f>Y85</f>
        <v/>
      </c>
      <c r="AA85" s="16">
        <f>Z85</f>
        <v/>
      </c>
      <c r="AB85" s="16">
        <f>AA85</f>
        <v/>
      </c>
      <c r="AC85" s="16">
        <f>AB85</f>
        <v/>
      </c>
      <c r="AD85" s="16">
        <f>AC85</f>
        <v/>
      </c>
      <c r="AF85" s="8" t="n">
        <v>525</v>
      </c>
      <c r="AG85" s="8" t="n">
        <v>619</v>
      </c>
      <c r="AH85" s="8" t="n">
        <v>4</v>
      </c>
      <c r="AK85" s="16">
        <f>W85</f>
        <v/>
      </c>
      <c r="AL85" s="16">
        <f>AA85</f>
        <v/>
      </c>
      <c r="AM85" s="16">
        <f>AJ85</f>
        <v/>
      </c>
      <c r="AN85" s="16">
        <f>AM85</f>
        <v/>
      </c>
      <c r="AO85" s="16">
        <f>AN85</f>
        <v/>
      </c>
    </row>
    <row r="86">
      <c r="C86" s="9" t="inlineStr">
        <is>
          <t>Operating Lease Liabilities, Non-current</t>
        </is>
      </c>
      <c r="G86" s="8" t="n">
        <v>542</v>
      </c>
      <c r="H86" s="8" t="n">
        <v>530</v>
      </c>
      <c r="I86" s="8" t="n">
        <v>514</v>
      </c>
      <c r="J86" s="8" t="n">
        <v>499</v>
      </c>
      <c r="K86" s="8" t="n">
        <v>480</v>
      </c>
      <c r="L86" s="8" t="n">
        <v>474</v>
      </c>
      <c r="M86" s="8" t="n">
        <v>473</v>
      </c>
      <c r="N86" s="8" t="n">
        <v>468</v>
      </c>
      <c r="O86" s="8" t="n">
        <v>458</v>
      </c>
      <c r="P86" s="8" t="n">
        <v>592</v>
      </c>
      <c r="Q86" s="8" t="n">
        <v>573</v>
      </c>
      <c r="R86" s="8" t="n">
        <v>614</v>
      </c>
      <c r="S86" s="8" t="n">
        <v>597</v>
      </c>
      <c r="T86" s="8" t="n">
        <v>643</v>
      </c>
      <c r="U86" s="8" t="n">
        <v>646</v>
      </c>
      <c r="V86" s="8" t="n">
        <v>655</v>
      </c>
      <c r="W86" s="16">
        <f>V86</f>
        <v/>
      </c>
      <c r="X86" s="16">
        <f>W86</f>
        <v/>
      </c>
      <c r="Y86" s="16">
        <f>X86</f>
        <v/>
      </c>
      <c r="Z86" s="16">
        <f>Y86</f>
        <v/>
      </c>
      <c r="AA86" s="16">
        <f>Z86</f>
        <v/>
      </c>
      <c r="AB86" s="16">
        <f>AA86</f>
        <v/>
      </c>
      <c r="AC86" s="16">
        <f>AB86</f>
        <v/>
      </c>
      <c r="AD86" s="16">
        <f>AC86</f>
        <v/>
      </c>
      <c r="AF86" s="8" t="n">
        <v>380</v>
      </c>
      <c r="AG86" s="8" t="n">
        <v>542</v>
      </c>
      <c r="AH86" s="8" t="n">
        <v>480</v>
      </c>
      <c r="AI86" s="8" t="n">
        <v>458</v>
      </c>
      <c r="AJ86" s="8" t="n">
        <v>597</v>
      </c>
      <c r="AK86" s="16">
        <f>W86</f>
        <v/>
      </c>
      <c r="AL86" s="16">
        <f>AA86</f>
        <v/>
      </c>
      <c r="AM86" s="16">
        <f>AJ86</f>
        <v/>
      </c>
      <c r="AN86" s="16">
        <f>AM86</f>
        <v/>
      </c>
      <c r="AO86" s="16">
        <f>AN86</f>
        <v/>
      </c>
    </row>
    <row r="87">
      <c r="C87" s="9" t="inlineStr">
        <is>
          <t>Other Long-term Obligations</t>
        </is>
      </c>
      <c r="G87" s="8" t="n">
        <v>87</v>
      </c>
      <c r="H87" s="8" t="n">
        <v>89</v>
      </c>
      <c r="I87" s="8" t="n">
        <v>88</v>
      </c>
      <c r="J87" s="8" t="n">
        <v>116</v>
      </c>
      <c r="K87" s="8" t="n">
        <v>117</v>
      </c>
      <c r="L87" s="8" t="n">
        <v>144</v>
      </c>
      <c r="M87" s="8" t="n">
        <v>138</v>
      </c>
      <c r="N87" s="8" t="n">
        <v>217</v>
      </c>
      <c r="O87" s="8" t="n">
        <v>208</v>
      </c>
      <c r="P87" s="8" t="n">
        <v>221</v>
      </c>
      <c r="Q87" s="8" t="n">
        <v>221</v>
      </c>
      <c r="R87" s="8" t="n">
        <v>294</v>
      </c>
      <c r="S87" s="8" t="n">
        <v>308</v>
      </c>
      <c r="T87" s="8" t="n">
        <v>316</v>
      </c>
      <c r="U87" s="8" t="n">
        <v>326</v>
      </c>
      <c r="V87" s="8" t="n">
        <v>358</v>
      </c>
      <c r="W87" s="16">
        <f>V87</f>
        <v/>
      </c>
      <c r="X87" s="16">
        <f>W87</f>
        <v/>
      </c>
      <c r="Y87" s="16">
        <f>X87</f>
        <v/>
      </c>
      <c r="Z87" s="16">
        <f>Y87</f>
        <v/>
      </c>
      <c r="AA87" s="16">
        <f>Z87</f>
        <v/>
      </c>
      <c r="AB87" s="16">
        <f>AA87</f>
        <v/>
      </c>
      <c r="AC87" s="16">
        <f>AB87</f>
        <v/>
      </c>
      <c r="AD87" s="16">
        <f>AC87</f>
        <v/>
      </c>
      <c r="AF87" s="8" t="n">
        <v>53</v>
      </c>
      <c r="AG87" s="8" t="n">
        <v>87</v>
      </c>
      <c r="AH87" s="8" t="n">
        <v>117</v>
      </c>
      <c r="AI87" s="8" t="n">
        <v>208</v>
      </c>
      <c r="AJ87" s="8" t="n">
        <v>308</v>
      </c>
      <c r="AK87" s="16">
        <f>W87</f>
        <v/>
      </c>
      <c r="AL87" s="16">
        <f>AA87</f>
        <v/>
      </c>
      <c r="AM87" s="16">
        <f>AJ87</f>
        <v/>
      </c>
      <c r="AN87" s="16">
        <f>AM87</f>
        <v/>
      </c>
      <c r="AO87" s="16">
        <f>AN87</f>
        <v/>
      </c>
    </row>
    <row r="88">
      <c r="B88" s="6" t="inlineStr">
        <is>
          <t>Total Liabilities</t>
        </is>
      </c>
      <c r="G88" s="10">
        <f>G81+G84+G85+G86+G87</f>
        <v/>
      </c>
      <c r="H88" s="10">
        <f>H81+H84+H85+H86+H87</f>
        <v/>
      </c>
      <c r="I88" s="10">
        <f>I81+I84+I85+I86+I87</f>
        <v/>
      </c>
      <c r="J88" s="10">
        <f>J81+J84+J85+J86+J87</f>
        <v/>
      </c>
      <c r="K88" s="10">
        <f>K81+K84+K85+K86+K87</f>
        <v/>
      </c>
      <c r="L88" s="10">
        <f>L81+L84+L85+L86+L87</f>
        <v/>
      </c>
      <c r="M88" s="10">
        <f>M81+M84+M85+M86+M87</f>
        <v/>
      </c>
      <c r="N88" s="10">
        <f>N81+N84+N85+N86+N87</f>
        <v/>
      </c>
      <c r="O88" s="10">
        <f>O81+O84+O85+O86+O87</f>
        <v/>
      </c>
      <c r="P88" s="10">
        <f>P81+P84+P85+P86+P87</f>
        <v/>
      </c>
      <c r="Q88" s="10">
        <f>Q81+Q84+Q85+Q86+Q87</f>
        <v/>
      </c>
      <c r="R88" s="10">
        <f>R81+R84+R85+R86+R87</f>
        <v/>
      </c>
      <c r="S88" s="10">
        <f>S81+S84+S85+S86+S87</f>
        <v/>
      </c>
      <c r="T88" s="10">
        <f>T81+T84+T85+T86+T87</f>
        <v/>
      </c>
      <c r="U88" s="10">
        <f>U81+U84+U85+U86+U87</f>
        <v/>
      </c>
      <c r="V88" s="10">
        <f>V81+V84+V85+V86+V87</f>
        <v/>
      </c>
      <c r="W88" s="10">
        <f>W81+W84+W85+W86+W87</f>
        <v/>
      </c>
      <c r="X88" s="10">
        <f>X81+X84+X85+X86+X87</f>
        <v/>
      </c>
      <c r="Y88" s="10">
        <f>Y81+Y84+Y85+Y86+Y87</f>
        <v/>
      </c>
      <c r="Z88" s="10">
        <f>Z81+Z84+Z85+Z86+Z87</f>
        <v/>
      </c>
      <c r="AA88" s="10">
        <f>AA81+AA84+AA85+AA86+AA87</f>
        <v/>
      </c>
      <c r="AB88" s="10">
        <f>AB81+AB84+AB85+AB86+AB87</f>
        <v/>
      </c>
      <c r="AC88" s="10">
        <f>AC81+AC84+AC85+AC86+AC87</f>
        <v/>
      </c>
      <c r="AD88" s="10">
        <f>AD81+AD84+AD85+AD86+AD87</f>
        <v/>
      </c>
      <c r="AF88" s="10">
        <f>AF81+AF84+AF85+AF86+AF87</f>
        <v/>
      </c>
      <c r="AG88" s="10">
        <f>AG81+AG84+AG85+AG86+AG87</f>
        <v/>
      </c>
      <c r="AH88" s="10">
        <f>AH81+AH84+AH85+AH86+AH87</f>
        <v/>
      </c>
      <c r="AI88" s="10">
        <f>AI81+AI84+AI85+AI86+AI87</f>
        <v/>
      </c>
      <c r="AJ88" s="10">
        <f>AJ81+AJ84+AJ85+AJ86+AJ87</f>
        <v/>
      </c>
      <c r="AK88" s="10">
        <f>W88</f>
        <v/>
      </c>
      <c r="AL88" s="10">
        <f>AA88</f>
        <v/>
      </c>
      <c r="AM88" s="10">
        <f>AM81+AM84+AM85+AM86+AM87</f>
        <v/>
      </c>
      <c r="AN88" s="10">
        <f>AN81+AN84+AN85+AN86+AN87</f>
        <v/>
      </c>
      <c r="AO88" s="10">
        <f>AO81+AO84+AO85+AO86+AO87</f>
        <v/>
      </c>
    </row>
    <row r="89">
      <c r="D89" s="3" t="inlineStr">
        <is>
          <t>Recon: Total Liabilities</t>
        </is>
      </c>
      <c r="G89" s="21">
        <f>IF(_reported!G18="","",G88-_reported!G18)</f>
        <v/>
      </c>
      <c r="H89" s="21">
        <f>IF(_reported!H18="","",H88-_reported!H18)</f>
        <v/>
      </c>
      <c r="I89" s="21">
        <f>IF(_reported!I18="","",I88-_reported!I18)</f>
        <v/>
      </c>
      <c r="J89" s="21">
        <f>IF(_reported!J18="","",J88-_reported!J18)</f>
        <v/>
      </c>
      <c r="K89" s="21">
        <f>IF(_reported!K18="","",K88-_reported!K18)</f>
        <v/>
      </c>
      <c r="L89" s="21">
        <f>IF(_reported!L18="","",L88-_reported!L18)</f>
        <v/>
      </c>
      <c r="M89" s="21">
        <f>IF(_reported!M18="","",M88-_reported!M18)</f>
        <v/>
      </c>
      <c r="N89" s="21">
        <f>IF(_reported!N18="","",N88-_reported!N18)</f>
        <v/>
      </c>
      <c r="O89" s="21">
        <f>IF(_reported!O18="","",O88-_reported!O18)</f>
        <v/>
      </c>
      <c r="P89" s="21">
        <f>IF(_reported!P18="","",P88-_reported!P18)</f>
        <v/>
      </c>
      <c r="Q89" s="21">
        <f>IF(_reported!Q18="","",Q88-_reported!Q18)</f>
        <v/>
      </c>
      <c r="R89" s="21">
        <f>IF(_reported!R18="","",R88-_reported!R18)</f>
        <v/>
      </c>
      <c r="S89" s="21">
        <f>IF(_reported!S18="","",S88-_reported!S18)</f>
        <v/>
      </c>
      <c r="T89" s="21">
        <f>IF(_reported!T18="","",T88-_reported!T18)</f>
        <v/>
      </c>
      <c r="U89" s="21">
        <f>IF(_reported!U18="","",U88-_reported!U18)</f>
        <v/>
      </c>
      <c r="V89" s="21">
        <f>IF(_reported!V18="","",V88-_reported!V18)</f>
        <v/>
      </c>
      <c r="AF89" s="21">
        <f>IF(_reported!AF18="","",AF88-_reported!AF18)</f>
        <v/>
      </c>
      <c r="AG89" s="21">
        <f>IF(_reported!AG18="","",AG88-_reported!AG18)</f>
        <v/>
      </c>
      <c r="AH89" s="21">
        <f>IF(_reported!AH18="","",AH88-_reported!AH18)</f>
        <v/>
      </c>
      <c r="AI89" s="21">
        <f>IF(_reported!AI18="","",AI88-_reported!AI18)</f>
        <v/>
      </c>
      <c r="AJ89" s="21">
        <f>IF(_reported!AJ18="","",AJ88-_reported!AJ18)</f>
        <v/>
      </c>
    </row>
    <row r="90"/>
    <row r="91">
      <c r="C91" s="9" t="inlineStr">
        <is>
          <t>Common Stock + Additional Paid-in Capital</t>
        </is>
      </c>
      <c r="G91" s="8" t="n">
        <v>17725</v>
      </c>
      <c r="H91" s="8" t="n">
        <v>18082</v>
      </c>
      <c r="I91" s="8" t="n">
        <v>18392</v>
      </c>
      <c r="J91" s="8" t="n">
        <v>18760</v>
      </c>
      <c r="K91" s="8" t="n">
        <v>19029</v>
      </c>
      <c r="L91" s="8" t="n">
        <v>19398</v>
      </c>
      <c r="M91" s="8" t="n">
        <v>19739</v>
      </c>
      <c r="N91" s="8" t="n">
        <v>20040</v>
      </c>
      <c r="O91" s="8" t="n">
        <v>20251</v>
      </c>
      <c r="P91" s="8" t="n">
        <v>20619</v>
      </c>
      <c r="Q91" s="8" t="n">
        <v>20995</v>
      </c>
      <c r="R91" s="8" t="n">
        <v>21380</v>
      </c>
      <c r="S91" s="8" t="n">
        <v>21635</v>
      </c>
      <c r="T91" s="8" t="n">
        <v>21996</v>
      </c>
      <c r="U91" s="8" t="n">
        <v>22336</v>
      </c>
      <c r="V91" s="8" t="n">
        <v>22745</v>
      </c>
      <c r="W91" s="16">
        <f>V91</f>
        <v/>
      </c>
      <c r="X91" s="16">
        <f>W91</f>
        <v/>
      </c>
      <c r="Y91" s="16">
        <f>X91</f>
        <v/>
      </c>
      <c r="Z91" s="16">
        <f>Y91</f>
        <v/>
      </c>
      <c r="AA91" s="16">
        <f>Z91</f>
        <v/>
      </c>
      <c r="AB91" s="16">
        <f>AA91</f>
        <v/>
      </c>
      <c r="AC91" s="16">
        <f>AB91</f>
        <v/>
      </c>
      <c r="AD91" s="16">
        <f>AC91</f>
        <v/>
      </c>
      <c r="AF91" s="8" t="n">
        <v>10548</v>
      </c>
      <c r="AG91" s="8" t="n">
        <v>17725</v>
      </c>
      <c r="AH91" s="8" t="n">
        <v>19029</v>
      </c>
      <c r="AI91" s="8" t="n">
        <v>20251</v>
      </c>
      <c r="AJ91" s="8" t="n">
        <v>21635</v>
      </c>
      <c r="AK91" s="16">
        <f>W91</f>
        <v/>
      </c>
      <c r="AL91" s="16">
        <f>AA91</f>
        <v/>
      </c>
      <c r="AM91" s="16">
        <f>AJ91</f>
        <v/>
      </c>
      <c r="AN91" s="16">
        <f>AM91</f>
        <v/>
      </c>
      <c r="AO91" s="16">
        <f>AN91</f>
        <v/>
      </c>
    </row>
    <row r="92">
      <c r="C92" s="9" t="inlineStr">
        <is>
          <t>Treasury Stock, at Cost</t>
        </is>
      </c>
      <c r="G92" s="8" t="n">
        <v>-14805</v>
      </c>
      <c r="H92" s="8" t="n">
        <v>-15324</v>
      </c>
      <c r="I92" s="8" t="n">
        <v>-15824</v>
      </c>
      <c r="J92" s="8" t="n">
        <v>-16307</v>
      </c>
      <c r="K92" s="8" t="n">
        <v>-16772</v>
      </c>
      <c r="L92" s="8" t="n">
        <v>-17375</v>
      </c>
      <c r="M92" s="8" t="n">
        <v>-17911</v>
      </c>
      <c r="N92" s="8" t="n">
        <v>-18495</v>
      </c>
      <c r="O92" s="8" t="n">
        <v>-18750</v>
      </c>
      <c r="P92" s="8" t="n">
        <v>-19320</v>
      </c>
      <c r="Q92" s="8" t="n">
        <v>-20041</v>
      </c>
      <c r="R92" s="8" t="n">
        <v>-20795</v>
      </c>
      <c r="S92" s="8" t="n">
        <v>-21543</v>
      </c>
      <c r="T92" s="8" t="n">
        <v>-22394</v>
      </c>
      <c r="U92" s="8" t="n">
        <v>-23355</v>
      </c>
      <c r="V92" s="8" t="n">
        <v>-24916</v>
      </c>
      <c r="W92" s="16">
        <f>V92</f>
        <v/>
      </c>
      <c r="X92" s="16">
        <f>W92</f>
        <v/>
      </c>
      <c r="Y92" s="16">
        <f>X92</f>
        <v/>
      </c>
      <c r="Z92" s="16">
        <f>Y92</f>
        <v/>
      </c>
      <c r="AA92" s="16">
        <f>Z92</f>
        <v/>
      </c>
      <c r="AB92" s="16">
        <f>AA92</f>
        <v/>
      </c>
      <c r="AC92" s="16">
        <f>AB92</f>
        <v/>
      </c>
      <c r="AD92" s="16">
        <f>AC92</f>
        <v/>
      </c>
      <c r="AF92" s="8" t="n">
        <v>-12951</v>
      </c>
      <c r="AG92" s="8" t="n">
        <v>-14805</v>
      </c>
      <c r="AH92" s="8" t="n">
        <v>-16772</v>
      </c>
      <c r="AI92" s="8" t="n">
        <v>-18750</v>
      </c>
      <c r="AJ92" s="8" t="n">
        <v>-21543</v>
      </c>
      <c r="AK92" s="16">
        <f>W92</f>
        <v/>
      </c>
      <c r="AL92" s="16">
        <f>AA92</f>
        <v/>
      </c>
      <c r="AM92" s="16">
        <f>AJ92</f>
        <v/>
      </c>
      <c r="AN92" s="16">
        <f>AM92</f>
        <v/>
      </c>
      <c r="AO92" s="16">
        <f>AN92</f>
        <v/>
      </c>
    </row>
    <row r="93">
      <c r="C93" s="9" t="inlineStr">
        <is>
          <t>Accumulated Other Comprehensive Loss</t>
        </is>
      </c>
      <c r="G93" s="8" t="n">
        <v>-60</v>
      </c>
      <c r="H93" s="8" t="n">
        <v>-87</v>
      </c>
      <c r="I93" s="8" t="n">
        <v>-63</v>
      </c>
      <c r="J93" s="8" t="n">
        <v>-61</v>
      </c>
      <c r="K93" s="8" t="n">
        <v>-55</v>
      </c>
      <c r="L93" s="8" t="n">
        <v>-78</v>
      </c>
      <c r="M93" s="8" t="n">
        <v>-60</v>
      </c>
      <c r="N93" s="8" t="n">
        <v>-58</v>
      </c>
      <c r="O93" s="8" t="n">
        <v>-54</v>
      </c>
      <c r="P93" s="8" t="n">
        <v>-54</v>
      </c>
      <c r="Q93" s="8" t="n">
        <v>-64</v>
      </c>
      <c r="R93" s="8" t="n">
        <v>-46</v>
      </c>
      <c r="S93" s="8" t="n">
        <v>-50</v>
      </c>
      <c r="T93" s="8" t="n">
        <v>-51</v>
      </c>
      <c r="U93" s="8" t="n">
        <v>-49</v>
      </c>
      <c r="V93" s="8" t="n">
        <v>-54</v>
      </c>
      <c r="W93" s="16">
        <f>V93</f>
        <v/>
      </c>
      <c r="X93" s="16">
        <f>W93</f>
        <v/>
      </c>
      <c r="Y93" s="16">
        <f>X93</f>
        <v/>
      </c>
      <c r="Z93" s="16">
        <f>Y93</f>
        <v/>
      </c>
      <c r="AA93" s="16">
        <f>Z93</f>
        <v/>
      </c>
      <c r="AB93" s="16">
        <f>AA93</f>
        <v/>
      </c>
      <c r="AC93" s="16">
        <f>AB93</f>
        <v/>
      </c>
      <c r="AD93" s="16">
        <f>AC93</f>
        <v/>
      </c>
      <c r="AF93" s="8" t="n">
        <v>-24</v>
      </c>
      <c r="AG93" s="8" t="n">
        <v>-60</v>
      </c>
      <c r="AH93" s="8" t="n">
        <v>-55</v>
      </c>
      <c r="AI93" s="8" t="n">
        <v>-54</v>
      </c>
      <c r="AJ93" s="8" t="n">
        <v>-50</v>
      </c>
      <c r="AK93" s="16">
        <f>W93</f>
        <v/>
      </c>
      <c r="AL93" s="16">
        <f>AA93</f>
        <v/>
      </c>
      <c r="AM93" s="16">
        <f>AJ93</f>
        <v/>
      </c>
      <c r="AN93" s="16">
        <f>AM93</f>
        <v/>
      </c>
      <c r="AO93" s="16">
        <f>AN93</f>
        <v/>
      </c>
    </row>
    <row r="94">
      <c r="C94" s="9" t="inlineStr">
        <is>
          <t>Retained Earnings</t>
        </is>
      </c>
      <c r="G94" s="8" t="n">
        <v>13581</v>
      </c>
      <c r="H94" s="8" t="n">
        <v>13396</v>
      </c>
      <c r="I94" s="8" t="n">
        <v>13337</v>
      </c>
      <c r="J94" s="8" t="n">
        <v>15200</v>
      </c>
      <c r="K94" s="8" t="n">
        <v>15067</v>
      </c>
      <c r="L94" s="8" t="n">
        <v>15047</v>
      </c>
      <c r="M94" s="8" t="n">
        <v>15140</v>
      </c>
      <c r="N94" s="8" t="n">
        <v>17270</v>
      </c>
      <c r="O94" s="8" t="n">
        <v>16989</v>
      </c>
      <c r="P94" s="8" t="n">
        <v>16891</v>
      </c>
      <c r="Q94" s="8" t="n">
        <v>17059</v>
      </c>
      <c r="R94" s="8" t="n">
        <v>19586</v>
      </c>
      <c r="S94" s="8" t="n">
        <v>19668</v>
      </c>
      <c r="T94" s="8" t="n">
        <v>19771</v>
      </c>
      <c r="U94" s="8" t="n">
        <v>20123</v>
      </c>
      <c r="V94" s="8" t="n">
        <v>22854</v>
      </c>
      <c r="W94" s="16">
        <f>V94+W42+W149</f>
        <v/>
      </c>
      <c r="X94" s="16">
        <f>W94+X42+X149</f>
        <v/>
      </c>
      <c r="Y94" s="16">
        <f>X94+Y42+Y149</f>
        <v/>
      </c>
      <c r="Z94" s="16">
        <f>Y94+Z42+Z149</f>
        <v/>
      </c>
      <c r="AA94" s="16">
        <f>Z94+AA42+AA149</f>
        <v/>
      </c>
      <c r="AB94" s="16">
        <f>AA94+AB42+AB149</f>
        <v/>
      </c>
      <c r="AC94" s="16">
        <f>AB94+AC42+AC149</f>
        <v/>
      </c>
      <c r="AD94" s="16">
        <f>AC94+AD42+AD149</f>
        <v/>
      </c>
      <c r="AF94" s="8" t="n">
        <v>12296</v>
      </c>
      <c r="AG94" s="8" t="n">
        <v>13581</v>
      </c>
      <c r="AH94" s="8" t="n">
        <v>15067</v>
      </c>
      <c r="AI94" s="8" t="n">
        <v>16989</v>
      </c>
      <c r="AJ94" s="8" t="n">
        <v>19668</v>
      </c>
      <c r="AK94" s="16">
        <f>W94</f>
        <v/>
      </c>
      <c r="AL94" s="16">
        <f>AA94</f>
        <v/>
      </c>
      <c r="AM94" s="16">
        <f>AJ94+AM42+AM149</f>
        <v/>
      </c>
      <c r="AN94" s="16">
        <f>AM94+AN42+AN149</f>
        <v/>
      </c>
      <c r="AO94" s="16">
        <f>AN94+AO42+AO149</f>
        <v/>
      </c>
    </row>
    <row r="95">
      <c r="B95" s="6" t="inlineStr">
        <is>
          <t>Total Stockholders' Equity</t>
        </is>
      </c>
      <c r="G95" s="10">
        <f>G91+G92+G93+G94</f>
        <v/>
      </c>
      <c r="H95" s="10">
        <f>H91+H92+H93+H94</f>
        <v/>
      </c>
      <c r="I95" s="10">
        <f>I91+I92+I93+I94</f>
        <v/>
      </c>
      <c r="J95" s="10">
        <f>J91+J92+J93+J94</f>
        <v/>
      </c>
      <c r="K95" s="10">
        <f>K91+K92+K93+K94</f>
        <v/>
      </c>
      <c r="L95" s="10">
        <f>L91+L92+L93+L94</f>
        <v/>
      </c>
      <c r="M95" s="10">
        <f>M91+M92+M93+M94</f>
        <v/>
      </c>
      <c r="N95" s="10">
        <f>N91+N92+N93+N94</f>
        <v/>
      </c>
      <c r="O95" s="10">
        <f>O91+O92+O93+O94</f>
        <v/>
      </c>
      <c r="P95" s="10">
        <f>P91+P92+P93+P94</f>
        <v/>
      </c>
      <c r="Q95" s="10">
        <f>Q91+Q92+Q93+Q94</f>
        <v/>
      </c>
      <c r="R95" s="10">
        <f>R91+R92+R93+R94</f>
        <v/>
      </c>
      <c r="S95" s="10">
        <f>S91+S92+S93+S94</f>
        <v/>
      </c>
      <c r="T95" s="10">
        <f>T91+T92+T93+T94</f>
        <v/>
      </c>
      <c r="U95" s="10">
        <f>U91+U92+U93+U94</f>
        <v/>
      </c>
      <c r="V95" s="10">
        <f>V91+V92+V93+V94</f>
        <v/>
      </c>
      <c r="W95" s="10">
        <f>W91+W92+W93+W94</f>
        <v/>
      </c>
      <c r="X95" s="10">
        <f>X91+X92+X93+X94</f>
        <v/>
      </c>
      <c r="Y95" s="10">
        <f>Y91+Y92+Y93+Y94</f>
        <v/>
      </c>
      <c r="Z95" s="10">
        <f>Z91+Z92+Z93+Z94</f>
        <v/>
      </c>
      <c r="AA95" s="10">
        <f>AA91+AA92+AA93+AA94</f>
        <v/>
      </c>
      <c r="AB95" s="10">
        <f>AB91+AB92+AB93+AB94</f>
        <v/>
      </c>
      <c r="AC95" s="10">
        <f>AC91+AC92+AC93+AC94</f>
        <v/>
      </c>
      <c r="AD95" s="10">
        <f>AD91+AD92+AD93+AD94</f>
        <v/>
      </c>
      <c r="AF95" s="10">
        <f>AF91+AF92+AF93+AF94</f>
        <v/>
      </c>
      <c r="AG95" s="10">
        <f>AG91+AG92+AG93+AG94</f>
        <v/>
      </c>
      <c r="AH95" s="10">
        <f>AH91+AH92+AH93+AH94</f>
        <v/>
      </c>
      <c r="AI95" s="10">
        <f>AI91+AI92+AI93+AI94</f>
        <v/>
      </c>
      <c r="AJ95" s="10">
        <f>AJ91+AJ92+AJ93+AJ94</f>
        <v/>
      </c>
      <c r="AK95" s="10">
        <f>W95</f>
        <v/>
      </c>
      <c r="AL95" s="10">
        <f>AA95</f>
        <v/>
      </c>
      <c r="AM95" s="10">
        <f>AM91+AM92+AM93+AM94</f>
        <v/>
      </c>
      <c r="AN95" s="10">
        <f>AN91+AN92+AN93+AN94</f>
        <v/>
      </c>
      <c r="AO95" s="10">
        <f>AO91+AO92+AO93+AO94</f>
        <v/>
      </c>
    </row>
    <row r="96">
      <c r="D96" s="3" t="inlineStr">
        <is>
          <t>Recon: Total Stockholders' Equity</t>
        </is>
      </c>
      <c r="G96" s="21">
        <f>IF(_reported!G19="","",G95-_reported!G19)</f>
        <v/>
      </c>
      <c r="H96" s="21">
        <f>IF(_reported!H19="","",H95-_reported!H19)</f>
        <v/>
      </c>
      <c r="I96" s="21">
        <f>IF(_reported!I19="","",I95-_reported!I19)</f>
        <v/>
      </c>
      <c r="J96" s="21">
        <f>IF(_reported!J19="","",J95-_reported!J19)</f>
        <v/>
      </c>
      <c r="K96" s="21">
        <f>IF(_reported!K19="","",K95-_reported!K19)</f>
        <v/>
      </c>
      <c r="L96" s="21">
        <f>IF(_reported!L19="","",L95-_reported!L19)</f>
        <v/>
      </c>
      <c r="M96" s="21">
        <f>IF(_reported!M19="","",M95-_reported!M19)</f>
        <v/>
      </c>
      <c r="N96" s="21">
        <f>IF(_reported!N19="","",N95-_reported!N19)</f>
        <v/>
      </c>
      <c r="O96" s="21">
        <f>IF(_reported!O19="","",O95-_reported!O19)</f>
        <v/>
      </c>
      <c r="P96" s="21">
        <f>IF(_reported!P19="","",P95-_reported!P19)</f>
        <v/>
      </c>
      <c r="Q96" s="21">
        <f>IF(_reported!Q19="","",Q95-_reported!Q19)</f>
        <v/>
      </c>
      <c r="R96" s="21">
        <f>IF(_reported!R19="","",R95-_reported!R19)</f>
        <v/>
      </c>
      <c r="S96" s="21">
        <f>IF(_reported!S19="","",S95-_reported!S19)</f>
        <v/>
      </c>
      <c r="T96" s="21">
        <f>IF(_reported!T19="","",T95-_reported!T19)</f>
        <v/>
      </c>
      <c r="U96" s="21">
        <f>IF(_reported!U19="","",U95-_reported!U19)</f>
        <v/>
      </c>
      <c r="V96" s="21">
        <f>IF(_reported!V19="","",V95-_reported!V19)</f>
        <v/>
      </c>
      <c r="AF96" s="21">
        <f>IF(_reported!AF19="","",AF95-_reported!AF19)</f>
        <v/>
      </c>
      <c r="AG96" s="21">
        <f>IF(_reported!AG19="","",AG95-_reported!AG19)</f>
        <v/>
      </c>
      <c r="AH96" s="21">
        <f>IF(_reported!AH19="","",AH95-_reported!AH19)</f>
        <v/>
      </c>
      <c r="AI96" s="21">
        <f>IF(_reported!AI19="","",AI95-_reported!AI19)</f>
        <v/>
      </c>
      <c r="AJ96" s="21">
        <f>IF(_reported!AJ19="","",AJ95-_reported!AJ19)</f>
        <v/>
      </c>
    </row>
    <row r="97"/>
    <row r="98">
      <c r="B98" s="6" t="inlineStr">
        <is>
          <t>Total Liabilities and Stockholders' Equity</t>
        </is>
      </c>
      <c r="G98" s="10">
        <f>G88+G95</f>
        <v/>
      </c>
      <c r="H98" s="10">
        <f>H88+H95</f>
        <v/>
      </c>
      <c r="I98" s="10">
        <f>I88+I95</f>
        <v/>
      </c>
      <c r="J98" s="10">
        <f>J88+J95</f>
        <v/>
      </c>
      <c r="K98" s="10">
        <f>K88+K95</f>
        <v/>
      </c>
      <c r="L98" s="10">
        <f>L88+L95</f>
        <v/>
      </c>
      <c r="M98" s="10">
        <f>M88+M95</f>
        <v/>
      </c>
      <c r="N98" s="10">
        <f>N88+N95</f>
        <v/>
      </c>
      <c r="O98" s="10">
        <f>O88+O95</f>
        <v/>
      </c>
      <c r="P98" s="10">
        <f>P88+P95</f>
        <v/>
      </c>
      <c r="Q98" s="10">
        <f>Q88+Q95</f>
        <v/>
      </c>
      <c r="R98" s="10">
        <f>R88+R95</f>
        <v/>
      </c>
      <c r="S98" s="10">
        <f>S88+S95</f>
        <v/>
      </c>
      <c r="T98" s="10">
        <f>T88+T95</f>
        <v/>
      </c>
      <c r="U98" s="10">
        <f>U88+U95</f>
        <v/>
      </c>
      <c r="V98" s="10">
        <f>V88+V95</f>
        <v/>
      </c>
      <c r="W98" s="10">
        <f>W88+W95</f>
        <v/>
      </c>
      <c r="X98" s="10">
        <f>X88+X95</f>
        <v/>
      </c>
      <c r="Y98" s="10">
        <f>Y88+Y95</f>
        <v/>
      </c>
      <c r="Z98" s="10">
        <f>Z88+Z95</f>
        <v/>
      </c>
      <c r="AA98" s="10">
        <f>AA88+AA95</f>
        <v/>
      </c>
      <c r="AB98" s="10">
        <f>AB88+AB95</f>
        <v/>
      </c>
      <c r="AC98" s="10">
        <f>AC88+AC95</f>
        <v/>
      </c>
      <c r="AD98" s="10">
        <f>AD88+AD95</f>
        <v/>
      </c>
      <c r="AF98" s="10">
        <f>AF88+AF95</f>
        <v/>
      </c>
      <c r="AG98" s="10">
        <f>AG88+AG95</f>
        <v/>
      </c>
      <c r="AH98" s="10">
        <f>AH88+AH95</f>
        <v/>
      </c>
      <c r="AI98" s="10">
        <f>AI88+AI95</f>
        <v/>
      </c>
      <c r="AJ98" s="10">
        <f>AJ88+AJ95</f>
        <v/>
      </c>
      <c r="AK98" s="10">
        <f>W98</f>
        <v/>
      </c>
      <c r="AL98" s="10">
        <f>AA98</f>
        <v/>
      </c>
      <c r="AM98" s="10">
        <f>AM88+AM95</f>
        <v/>
      </c>
      <c r="AN98" s="10">
        <f>AN88+AN95</f>
        <v/>
      </c>
      <c r="AO98" s="10">
        <f>AO88+AO95</f>
        <v/>
      </c>
    </row>
    <row r="99">
      <c r="D99" s="3" t="inlineStr">
        <is>
          <t>Recon: Total L&amp;E</t>
        </is>
      </c>
      <c r="G99" s="21">
        <f>IF(_reported!G20="","",G98-_reported!G20)</f>
        <v/>
      </c>
      <c r="H99" s="21">
        <f>IF(_reported!H20="","",H98-_reported!H20)</f>
        <v/>
      </c>
      <c r="I99" s="21">
        <f>IF(_reported!I20="","",I98-_reported!I20)</f>
        <v/>
      </c>
      <c r="J99" s="21">
        <f>IF(_reported!J20="","",J98-_reported!J20)</f>
        <v/>
      </c>
      <c r="K99" s="21">
        <f>IF(_reported!K20="","",K98-_reported!K20)</f>
        <v/>
      </c>
      <c r="L99" s="21">
        <f>IF(_reported!L20="","",L98-_reported!L20)</f>
        <v/>
      </c>
      <c r="M99" s="21">
        <f>IF(_reported!M20="","",M98-_reported!M20)</f>
        <v/>
      </c>
      <c r="N99" s="21">
        <f>IF(_reported!N20="","",N98-_reported!N20)</f>
        <v/>
      </c>
      <c r="O99" s="21">
        <f>IF(_reported!O20="","",O98-_reported!O20)</f>
        <v/>
      </c>
      <c r="P99" s="21">
        <f>IF(_reported!P20="","",P98-_reported!P20)</f>
        <v/>
      </c>
      <c r="Q99" s="21">
        <f>IF(_reported!Q20="","",Q98-_reported!Q20)</f>
        <v/>
      </c>
      <c r="R99" s="21">
        <f>IF(_reported!R20="","",R98-_reported!R20)</f>
        <v/>
      </c>
      <c r="S99" s="21">
        <f>IF(_reported!S20="","",S98-_reported!S20)</f>
        <v/>
      </c>
      <c r="T99" s="21">
        <f>IF(_reported!T20="","",T98-_reported!T20)</f>
        <v/>
      </c>
      <c r="U99" s="21">
        <f>IF(_reported!U20="","",U98-_reported!U20)</f>
        <v/>
      </c>
      <c r="V99" s="21">
        <f>IF(_reported!V20="","",V98-_reported!V20)</f>
        <v/>
      </c>
      <c r="AF99" s="21">
        <f>IF(_reported!AF20="","",AF98-_reported!AF20)</f>
        <v/>
      </c>
      <c r="AG99" s="21">
        <f>IF(_reported!AG20="","",AG98-_reported!AG20)</f>
        <v/>
      </c>
      <c r="AH99" s="21">
        <f>IF(_reported!AH20="","",AH98-_reported!AH20)</f>
        <v/>
      </c>
      <c r="AI99" s="21">
        <f>IF(_reported!AI20="","",AI98-_reported!AI20)</f>
        <v/>
      </c>
      <c r="AJ99" s="21">
        <f>IF(_reported!AJ20="","",AJ98-_reported!AJ20)</f>
        <v/>
      </c>
    </row>
    <row r="100">
      <c r="D100" s="3" t="inlineStr">
        <is>
          <t>BS Parity: TA − TLE</t>
        </is>
      </c>
      <c r="G100" s="21">
        <f>G71-G98</f>
        <v/>
      </c>
      <c r="H100" s="21">
        <f>H71-H98</f>
        <v/>
      </c>
      <c r="I100" s="21">
        <f>I71-I98</f>
        <v/>
      </c>
      <c r="J100" s="21">
        <f>J71-J98</f>
        <v/>
      </c>
      <c r="K100" s="21">
        <f>K71-K98</f>
        <v/>
      </c>
      <c r="L100" s="21">
        <f>L71-L98</f>
        <v/>
      </c>
      <c r="M100" s="21">
        <f>M71-M98</f>
        <v/>
      </c>
      <c r="N100" s="21">
        <f>N71-N98</f>
        <v/>
      </c>
      <c r="O100" s="21">
        <f>O71-O98</f>
        <v/>
      </c>
      <c r="P100" s="21">
        <f>P71-P98</f>
        <v/>
      </c>
      <c r="Q100" s="21">
        <f>Q71-Q98</f>
        <v/>
      </c>
      <c r="R100" s="21">
        <f>R71-R98</f>
        <v/>
      </c>
      <c r="S100" s="21">
        <f>S71-S98</f>
        <v/>
      </c>
      <c r="T100" s="21">
        <f>T71-T98</f>
        <v/>
      </c>
      <c r="U100" s="21">
        <f>U71-U98</f>
        <v/>
      </c>
      <c r="V100" s="21">
        <f>V71-V98</f>
        <v/>
      </c>
      <c r="AF100" s="21">
        <f>AF71-AF98</f>
        <v/>
      </c>
      <c r="AG100" s="21">
        <f>AG71-AG98</f>
        <v/>
      </c>
      <c r="AH100" s="21">
        <f>AH71-AH98</f>
        <v/>
      </c>
      <c r="AI100" s="21">
        <f>AI71-AI98</f>
        <v/>
      </c>
      <c r="AJ100" s="21">
        <f>AJ71-AJ98</f>
        <v/>
      </c>
    </row>
    <row r="101"/>
    <row r="102"/>
    <row r="103">
      <c r="B103" s="15" t="inlineStr">
        <is>
          <t>Cash Flow Statement</t>
        </is>
      </c>
      <c r="C103" s="15" t="n"/>
      <c r="D103" s="15" t="n"/>
      <c r="E103" s="15" t="n"/>
      <c r="F103" s="15" t="n"/>
      <c r="G103" s="15" t="n"/>
      <c r="H103" s="15" t="n"/>
      <c r="I103" s="15" t="n"/>
      <c r="J103" s="15" t="n"/>
      <c r="K103" s="15" t="n"/>
      <c r="L103" s="15" t="n"/>
      <c r="M103" s="15" t="n"/>
      <c r="N103" s="15" t="n"/>
      <c r="O103" s="15" t="n"/>
      <c r="P103" s="15" t="n"/>
      <c r="Q103" s="15" t="n"/>
      <c r="R103" s="15" t="n"/>
      <c r="S103" s="15" t="n"/>
      <c r="T103" s="15" t="n"/>
      <c r="U103" s="15" t="n"/>
      <c r="V103" s="15" t="n"/>
      <c r="W103" s="15" t="n"/>
      <c r="X103" s="15" t="n"/>
      <c r="Y103" s="15" t="n"/>
      <c r="Z103" s="15" t="n"/>
      <c r="AA103" s="15" t="n"/>
      <c r="AB103" s="15" t="n"/>
      <c r="AC103" s="15" t="n"/>
      <c r="AD103" s="15" t="n"/>
      <c r="AF103" s="15" t="n"/>
      <c r="AG103" s="15" t="n"/>
      <c r="AH103" s="15" t="n"/>
      <c r="AI103" s="15" t="n"/>
      <c r="AJ103" s="15" t="n"/>
      <c r="AK103" s="15" t="n"/>
      <c r="AL103" s="15" t="n"/>
      <c r="AM103" s="15" t="n"/>
      <c r="AN103" s="15" t="n"/>
      <c r="AO103" s="15" t="n"/>
    </row>
    <row r="104"/>
    <row r="105">
      <c r="C105" s="9" t="inlineStr">
        <is>
          <t>Net Income</t>
        </is>
      </c>
      <c r="G105" s="8" t="n">
        <v>-56</v>
      </c>
      <c r="H105" s="8" t="n">
        <v>40</v>
      </c>
      <c r="I105" s="8" t="n">
        <v>168</v>
      </c>
      <c r="J105" s="8" t="n">
        <v>2087</v>
      </c>
      <c r="K105" s="8" t="n">
        <v>89</v>
      </c>
      <c r="L105" s="8" t="n">
        <v>241</v>
      </c>
      <c r="M105" s="8" t="n">
        <v>353</v>
      </c>
      <c r="N105" s="8" t="n">
        <v>2389</v>
      </c>
      <c r="O105" s="8" t="n">
        <v>-20</v>
      </c>
      <c r="P105" s="8" t="n">
        <v>197</v>
      </c>
      <c r="Q105" s="8" t="n">
        <v>471</v>
      </c>
      <c r="R105" s="8" t="n">
        <v>2820</v>
      </c>
      <c r="S105" s="8" t="n">
        <v>381</v>
      </c>
      <c r="T105" s="8" t="n">
        <v>446</v>
      </c>
      <c r="U105" s="8" t="n">
        <v>693</v>
      </c>
      <c r="V105" s="8" t="n">
        <v>3064</v>
      </c>
      <c r="W105" s="16">
        <f>W42</f>
        <v/>
      </c>
      <c r="X105" s="16">
        <f>X42</f>
        <v/>
      </c>
      <c r="Y105" s="16">
        <f>Y42</f>
        <v/>
      </c>
      <c r="Z105" s="16">
        <f>Z42</f>
        <v/>
      </c>
      <c r="AA105" s="16">
        <f>AA42</f>
        <v/>
      </c>
      <c r="AB105" s="16">
        <f>AB42</f>
        <v/>
      </c>
      <c r="AC105" s="16">
        <f>AC42</f>
        <v/>
      </c>
      <c r="AD105" s="16">
        <f>AD42</f>
        <v/>
      </c>
      <c r="AF105" s="8" t="n">
        <v>2062</v>
      </c>
      <c r="AG105" s="8" t="n">
        <v>2066</v>
      </c>
      <c r="AH105" s="8" t="n">
        <v>2384</v>
      </c>
      <c r="AI105" s="8" t="n">
        <v>2963</v>
      </c>
      <c r="AJ105" s="8" t="n">
        <v>3869</v>
      </c>
      <c r="AK105" s="16">
        <f>T105+U105+V105+W105</f>
        <v/>
      </c>
      <c r="AL105" s="16">
        <f>X105+Y105+Z105+AA105</f>
        <v/>
      </c>
      <c r="AM105" s="16">
        <f>AM42</f>
        <v/>
      </c>
      <c r="AN105" s="16">
        <f>AN42</f>
        <v/>
      </c>
      <c r="AO105" s="16">
        <f>AO42</f>
        <v/>
      </c>
    </row>
    <row r="106">
      <c r="C106" s="9" t="inlineStr">
        <is>
          <t>Depreciation</t>
        </is>
      </c>
      <c r="G106" s="8" t="n">
        <v>45</v>
      </c>
      <c r="H106" s="8" t="n">
        <v>47</v>
      </c>
      <c r="I106" s="8" t="n">
        <v>47</v>
      </c>
      <c r="J106" s="8" t="n">
        <v>33</v>
      </c>
      <c r="K106" s="8" t="n">
        <v>33</v>
      </c>
      <c r="L106" s="8" t="n">
        <v>33</v>
      </c>
      <c r="M106" s="8" t="n">
        <v>36</v>
      </c>
      <c r="N106" s="8" t="n">
        <v>42</v>
      </c>
      <c r="O106" s="8" t="n">
        <v>48</v>
      </c>
      <c r="P106" s="8" t="n">
        <v>44</v>
      </c>
      <c r="Q106" s="8" t="n">
        <v>42</v>
      </c>
      <c r="R106" s="8" t="n">
        <v>43</v>
      </c>
      <c r="S106" s="8" t="n">
        <v>43</v>
      </c>
      <c r="T106" s="8" t="n">
        <v>44</v>
      </c>
      <c r="U106" s="8" t="n">
        <v>44</v>
      </c>
      <c r="V106" s="8" t="n">
        <v>45</v>
      </c>
      <c r="W106" s="16">
        <f>W12*0.022</f>
        <v/>
      </c>
      <c r="X106" s="16">
        <f>X12*0.022</f>
        <v/>
      </c>
      <c r="Y106" s="16">
        <f>Y12*0.022</f>
        <v/>
      </c>
      <c r="Z106" s="16">
        <f>Z12*0.011</f>
        <v/>
      </c>
      <c r="AA106" s="16">
        <f>AA12*0.023</f>
        <v/>
      </c>
      <c r="AB106" s="16">
        <f>AB12*0.022</f>
        <v/>
      </c>
      <c r="AC106" s="16">
        <f>AC12*0.022</f>
        <v/>
      </c>
      <c r="AD106" s="16">
        <f>AD12*0.011</f>
        <v/>
      </c>
      <c r="AF106" s="8" t="n">
        <v>166</v>
      </c>
      <c r="AG106" s="8" t="n">
        <v>187</v>
      </c>
      <c r="AH106" s="8" t="n">
        <v>160</v>
      </c>
      <c r="AI106" s="8" t="n">
        <v>159</v>
      </c>
      <c r="AJ106" s="8" t="n">
        <v>172</v>
      </c>
      <c r="AK106" s="16">
        <f>T106+U106+V106+W106</f>
        <v/>
      </c>
      <c r="AL106" s="16">
        <f>X106+Y106+Z106+AA106</f>
        <v/>
      </c>
      <c r="AM106" s="16">
        <f>AM12*0.018</f>
        <v/>
      </c>
      <c r="AN106" s="16">
        <f>AN12*0.018</f>
        <v/>
      </c>
      <c r="AO106" s="16">
        <f>AO12*0.018</f>
        <v/>
      </c>
    </row>
    <row r="107">
      <c r="C107" s="9" t="inlineStr">
        <is>
          <t>Amortization of Acquired Intangibles</t>
        </is>
      </c>
      <c r="G107" s="8" t="n">
        <v>163</v>
      </c>
      <c r="H107" s="8" t="n">
        <v>162</v>
      </c>
      <c r="I107" s="8" t="n">
        <v>162</v>
      </c>
      <c r="J107" s="8" t="n">
        <v>160</v>
      </c>
      <c r="K107" s="8" t="n">
        <v>162</v>
      </c>
      <c r="L107" s="8" t="n">
        <v>158</v>
      </c>
      <c r="M107" s="8" t="n">
        <v>156</v>
      </c>
      <c r="N107" s="8" t="n">
        <v>156</v>
      </c>
      <c r="O107" s="8" t="n">
        <v>160</v>
      </c>
      <c r="P107" s="8" t="n">
        <v>157</v>
      </c>
      <c r="Q107" s="8" t="n">
        <v>157</v>
      </c>
      <c r="R107" s="8" t="n">
        <v>158</v>
      </c>
      <c r="S107" s="8" t="n">
        <v>165</v>
      </c>
      <c r="T107" s="8" t="n">
        <v>165</v>
      </c>
      <c r="U107" s="8" t="n">
        <v>165</v>
      </c>
      <c r="V107" s="8" t="n">
        <v>165</v>
      </c>
      <c r="W107" s="16">
        <f>-W17-W26</f>
        <v/>
      </c>
      <c r="X107" s="16">
        <f>-X17-X26</f>
        <v/>
      </c>
      <c r="Y107" s="16">
        <f>-Y17-Y26</f>
        <v/>
      </c>
      <c r="Z107" s="16">
        <f>-Z17-Z26</f>
        <v/>
      </c>
      <c r="AA107" s="16">
        <f>-AA17-AA26</f>
        <v/>
      </c>
      <c r="AB107" s="16">
        <f>-AB17-AB26</f>
        <v/>
      </c>
      <c r="AC107" s="16">
        <f>-AC17-AC26</f>
        <v/>
      </c>
      <c r="AD107" s="16">
        <f>-AD17-AD26</f>
        <v/>
      </c>
      <c r="AF107" s="8" t="n">
        <v>197</v>
      </c>
      <c r="AG107" s="8" t="n">
        <v>559</v>
      </c>
      <c r="AH107" s="8" t="n">
        <v>646</v>
      </c>
      <c r="AI107" s="8" t="n">
        <v>630</v>
      </c>
      <c r="AJ107" s="8" t="n">
        <v>637</v>
      </c>
      <c r="AK107" s="16">
        <f>T107+U107+V107+W107</f>
        <v/>
      </c>
      <c r="AL107" s="16">
        <f>X107+Y107+Z107+AA107</f>
        <v/>
      </c>
      <c r="AM107" s="16">
        <f>-AM17-AM26</f>
        <v/>
      </c>
      <c r="AN107" s="16">
        <f>-AN17-AN26</f>
        <v/>
      </c>
      <c r="AO107" s="16">
        <f>-AO17-AO26</f>
        <v/>
      </c>
    </row>
    <row r="108">
      <c r="C108" s="9" t="inlineStr">
        <is>
          <t>Non-cash Operating Lease Cost</t>
        </is>
      </c>
      <c r="G108" s="8" t="n">
        <v>21</v>
      </c>
      <c r="H108" s="8" t="n">
        <v>23</v>
      </c>
      <c r="I108" s="8" t="n">
        <v>23</v>
      </c>
      <c r="J108" s="8" t="n">
        <v>22</v>
      </c>
      <c r="K108" s="8" t="n">
        <v>22</v>
      </c>
      <c r="L108" s="8" t="n">
        <v>22</v>
      </c>
      <c r="M108" s="8" t="n">
        <v>21</v>
      </c>
      <c r="N108" s="8" t="n">
        <v>20</v>
      </c>
      <c r="O108" s="8" t="n">
        <v>18</v>
      </c>
      <c r="P108" s="8" t="n">
        <v>19</v>
      </c>
      <c r="Q108" s="8" t="n">
        <v>18</v>
      </c>
      <c r="R108" s="8" t="n">
        <v>19</v>
      </c>
      <c r="S108" s="8" t="n">
        <v>19</v>
      </c>
      <c r="T108" s="8" t="n">
        <v>23</v>
      </c>
      <c r="U108" s="8" t="n">
        <v>26</v>
      </c>
      <c r="V108" s="8" t="n">
        <v>28</v>
      </c>
      <c r="W108" s="16">
        <f>W12*0.004</f>
        <v/>
      </c>
      <c r="X108" s="16">
        <f>X12*0.004</f>
        <v/>
      </c>
      <c r="Y108" s="16">
        <f>Y12*0.004</f>
        <v/>
      </c>
      <c r="Z108" s="16">
        <f>Z12*0.004</f>
        <v/>
      </c>
      <c r="AA108" s="16">
        <f>AA12*0.004</f>
        <v/>
      </c>
      <c r="AB108" s="16">
        <f>AB12*0.004</f>
        <v/>
      </c>
      <c r="AC108" s="16">
        <f>AC12*0.004</f>
        <v/>
      </c>
      <c r="AD108" s="16">
        <f>AD12*0.004</f>
        <v/>
      </c>
      <c r="AF108" s="8" t="n">
        <v>62</v>
      </c>
      <c r="AG108" s="8" t="n">
        <v>83</v>
      </c>
      <c r="AH108" s="8" t="n">
        <v>90</v>
      </c>
      <c r="AI108" s="8" t="n">
        <v>81</v>
      </c>
      <c r="AJ108" s="8" t="n">
        <v>75</v>
      </c>
      <c r="AK108" s="16">
        <f>T108+U108+V108+W108</f>
        <v/>
      </c>
      <c r="AL108" s="16">
        <f>X108+Y108+Z108+AA108</f>
        <v/>
      </c>
      <c r="AM108" s="16">
        <f>AM12*0.004</f>
        <v/>
      </c>
      <c r="AN108" s="16">
        <f>AN12*0.004</f>
        <v/>
      </c>
      <c r="AO108" s="16">
        <f>AO12*0.004</f>
        <v/>
      </c>
    </row>
    <row r="109">
      <c r="C109" s="9" t="inlineStr">
        <is>
          <t>Share-based Compensation</t>
        </is>
      </c>
      <c r="G109" s="8" t="n">
        <v>346</v>
      </c>
      <c r="H109" s="8" t="n">
        <v>422</v>
      </c>
      <c r="I109" s="8" t="n">
        <v>423</v>
      </c>
      <c r="J109" s="8" t="n">
        <v>419</v>
      </c>
      <c r="K109" s="8" t="n">
        <v>448</v>
      </c>
      <c r="L109" s="8" t="n">
        <v>495</v>
      </c>
      <c r="M109" s="8" t="n">
        <v>475</v>
      </c>
      <c r="N109" s="8" t="n">
        <v>451</v>
      </c>
      <c r="O109" s="8" t="n">
        <v>519</v>
      </c>
      <c r="P109" s="8" t="n">
        <v>511</v>
      </c>
      <c r="Q109" s="8" t="n">
        <v>498</v>
      </c>
      <c r="R109" s="8" t="n">
        <v>469</v>
      </c>
      <c r="S109" s="8" t="n">
        <v>490</v>
      </c>
      <c r="T109" s="8" t="n">
        <v>543</v>
      </c>
      <c r="U109" s="8" t="n">
        <v>521</v>
      </c>
      <c r="V109" s="8" t="n">
        <v>485</v>
      </c>
      <c r="W109" s="16">
        <f>W12*0.13</f>
        <v/>
      </c>
      <c r="X109" s="16">
        <f>X12*0.13</f>
        <v/>
      </c>
      <c r="Y109" s="16">
        <f>Y12*0.12</f>
        <v/>
      </c>
      <c r="Z109" s="16">
        <f>Z12*0.055</f>
        <v/>
      </c>
      <c r="AA109" s="16">
        <f>AA12*0.13</f>
        <v/>
      </c>
      <c r="AB109" s="16">
        <f>AB12*0.125</f>
        <v/>
      </c>
      <c r="AC109" s="16">
        <f>AC12*0.115</f>
        <v/>
      </c>
      <c r="AD109" s="16">
        <f>AD12*0.052</f>
        <v/>
      </c>
      <c r="AF109" s="8" t="n">
        <v>753</v>
      </c>
      <c r="AG109" s="8" t="n">
        <v>1308</v>
      </c>
      <c r="AH109" s="8" t="n">
        <v>1712</v>
      </c>
      <c r="AI109" s="8" t="n">
        <v>1940</v>
      </c>
      <c r="AJ109" s="8" t="n">
        <v>1968</v>
      </c>
      <c r="AK109" s="16">
        <f>T109+U109+V109+W109</f>
        <v/>
      </c>
      <c r="AL109" s="16">
        <f>X109+Y109+Z109+AA109</f>
        <v/>
      </c>
      <c r="AM109" s="16">
        <f>AM12*0.105</f>
        <v/>
      </c>
      <c r="AN109" s="16">
        <f>AN12*0.1</f>
        <v/>
      </c>
      <c r="AO109" s="16">
        <f>AO12*0.095</f>
        <v/>
      </c>
    </row>
    <row r="110">
      <c r="C110" s="9" t="inlineStr">
        <is>
          <t>Deferred Income Taxes</t>
        </is>
      </c>
      <c r="G110" s="8" t="n">
        <v>14</v>
      </c>
      <c r="H110" s="8" t="n">
        <v>-28</v>
      </c>
      <c r="I110" s="8" t="n">
        <v>-262</v>
      </c>
      <c r="J110" s="8" t="n">
        <v>-99</v>
      </c>
      <c r="K110" s="8" t="n">
        <v>-239</v>
      </c>
      <c r="L110" s="8" t="n">
        <v>-126</v>
      </c>
      <c r="M110" s="8" t="n">
        <v>-184</v>
      </c>
      <c r="N110" s="8" t="n">
        <v>-51</v>
      </c>
      <c r="O110" s="8" t="n">
        <v>-193</v>
      </c>
      <c r="P110" s="8" t="n">
        <v>-91</v>
      </c>
      <c r="Q110" s="8" t="n">
        <v>-136</v>
      </c>
      <c r="R110" s="8" t="n">
        <v>-51</v>
      </c>
      <c r="S110" s="8" t="n">
        <v>-157</v>
      </c>
      <c r="T110" s="8" t="n">
        <v>58</v>
      </c>
      <c r="U110" s="8" t="n">
        <v>79</v>
      </c>
      <c r="V110" s="8" t="n">
        <v>1013</v>
      </c>
      <c r="W110" s="16" t="n">
        <v>0</v>
      </c>
      <c r="X110" s="16" t="n">
        <v>0</v>
      </c>
      <c r="Y110" s="16" t="n">
        <v>0</v>
      </c>
      <c r="Z110" s="16" t="n">
        <v>0</v>
      </c>
      <c r="AA110" s="16" t="n">
        <v>0</v>
      </c>
      <c r="AB110" s="16" t="n">
        <v>0</v>
      </c>
      <c r="AC110" s="16" t="n">
        <v>0</v>
      </c>
      <c r="AD110" s="16" t="n">
        <v>0</v>
      </c>
      <c r="AF110" s="8" t="n">
        <v>-42</v>
      </c>
      <c r="AG110" s="8" t="n">
        <v>120</v>
      </c>
      <c r="AH110" s="8" t="n">
        <v>-628</v>
      </c>
      <c r="AI110" s="8" t="n">
        <v>-554</v>
      </c>
      <c r="AJ110" s="8" t="n">
        <v>-435</v>
      </c>
      <c r="AK110" s="16">
        <f>T110+U110+V110+W110</f>
        <v/>
      </c>
      <c r="AL110" s="16">
        <f>X110+Y110+Z110+AA110</f>
        <v/>
      </c>
      <c r="AM110" s="16" t="n">
        <v>0</v>
      </c>
      <c r="AN110" s="16" t="n">
        <v>0</v>
      </c>
      <c r="AO110" s="16" t="n">
        <v>0</v>
      </c>
    </row>
    <row r="111">
      <c r="C111" s="9" t="inlineStr">
        <is>
          <t>Provision for Credit Losses</t>
        </is>
      </c>
      <c r="G111" s="8" t="n">
        <v>0</v>
      </c>
      <c r="H111" s="8" t="n">
        <v>0</v>
      </c>
      <c r="I111" s="8" t="n">
        <v>0</v>
      </c>
      <c r="J111" s="8" t="n">
        <v>0</v>
      </c>
      <c r="K111" s="8" t="n">
        <v>0</v>
      </c>
      <c r="L111" s="8" t="n">
        <v>0</v>
      </c>
      <c r="M111" s="8" t="n">
        <v>0</v>
      </c>
      <c r="N111" s="8" t="n">
        <v>0</v>
      </c>
      <c r="O111" s="8" t="n">
        <v>0</v>
      </c>
      <c r="P111" s="8" t="n">
        <v>0</v>
      </c>
      <c r="Q111" s="8" t="n">
        <v>0</v>
      </c>
      <c r="R111" s="8" t="n">
        <v>0</v>
      </c>
      <c r="S111" s="8" t="n">
        <v>0</v>
      </c>
      <c r="T111" s="8" t="n">
        <v>0</v>
      </c>
      <c r="U111" s="8" t="n">
        <v>0</v>
      </c>
      <c r="V111" s="8" t="n">
        <v>84</v>
      </c>
      <c r="W111" s="16" t="n">
        <v>0</v>
      </c>
      <c r="X111" s="16" t="n">
        <v>0</v>
      </c>
      <c r="Y111" s="16" t="n">
        <v>0</v>
      </c>
      <c r="Z111" s="16" t="n">
        <v>0</v>
      </c>
      <c r="AA111" s="16" t="n">
        <v>0</v>
      </c>
      <c r="AB111" s="16" t="n">
        <v>0</v>
      </c>
      <c r="AC111" s="16" t="n">
        <v>0</v>
      </c>
      <c r="AD111" s="16" t="n">
        <v>0</v>
      </c>
      <c r="AF111" s="8" t="n">
        <v>0</v>
      </c>
      <c r="AG111" s="8" t="n">
        <v>0</v>
      </c>
      <c r="AH111" s="8" t="n">
        <v>0</v>
      </c>
      <c r="AI111" s="8" t="n">
        <v>0</v>
      </c>
      <c r="AJ111" s="8" t="n">
        <v>0</v>
      </c>
      <c r="AK111" s="16">
        <f>T111+U111+V111+W111</f>
        <v/>
      </c>
      <c r="AL111" s="16">
        <f>X111+Y111+Z111+AA111</f>
        <v/>
      </c>
      <c r="AM111" s="16" t="n">
        <v>0</v>
      </c>
      <c r="AN111" s="16" t="n">
        <v>0</v>
      </c>
      <c r="AO111" s="16" t="n">
        <v>0</v>
      </c>
    </row>
    <row r="112">
      <c r="C112" s="9" t="inlineStr">
        <is>
          <t>Other (CFO addback)</t>
        </is>
      </c>
      <c r="G112" s="8" t="n">
        <v>-172</v>
      </c>
      <c r="H112" s="8" t="n">
        <v>11</v>
      </c>
      <c r="I112" s="8" t="n">
        <v>31</v>
      </c>
      <c r="J112" s="8" t="n">
        <v>652</v>
      </c>
      <c r="K112" s="8" t="n">
        <v>33</v>
      </c>
      <c r="L112" s="8" t="n">
        <v>28</v>
      </c>
      <c r="M112" s="8" t="n">
        <v>27</v>
      </c>
      <c r="N112" s="8" t="n">
        <v>14</v>
      </c>
      <c r="O112" s="8" t="n">
        <v>23</v>
      </c>
      <c r="P112" s="8" t="n">
        <v>63</v>
      </c>
      <c r="Q112" s="8" t="n">
        <v>36</v>
      </c>
      <c r="R112" s="8" t="n">
        <v>15</v>
      </c>
      <c r="S112" s="8" t="n">
        <v>-593</v>
      </c>
      <c r="T112" s="8" t="n">
        <v>-6</v>
      </c>
      <c r="U112" s="8" t="n">
        <v>108</v>
      </c>
      <c r="V112" s="8" t="n">
        <v>-147</v>
      </c>
      <c r="W112" s="16" t="n">
        <v>0</v>
      </c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0</v>
      </c>
      <c r="AC112" s="16" t="n">
        <v>0</v>
      </c>
      <c r="AD112" s="16" t="n">
        <v>0</v>
      </c>
      <c r="AF112" s="8" t="n">
        <v>-39</v>
      </c>
      <c r="AG112" s="8" t="n">
        <v>2</v>
      </c>
      <c r="AH112" s="8" t="n">
        <v>81</v>
      </c>
      <c r="AI112" s="8" t="n">
        <v>92</v>
      </c>
      <c r="AJ112" s="8" t="n">
        <v>127</v>
      </c>
      <c r="AK112" s="16">
        <f>T112+U112+V112+W112</f>
        <v/>
      </c>
      <c r="AL112" s="16">
        <f>X112+Y112+Z112+AA112</f>
        <v/>
      </c>
      <c r="AM112" s="16" t="n">
        <v>0</v>
      </c>
      <c r="AN112" s="16" t="n">
        <v>0</v>
      </c>
      <c r="AO112" s="16" t="n">
        <v>0</v>
      </c>
    </row>
    <row r="113">
      <c r="C113" s="9" t="inlineStr">
        <is>
          <t>Originations / Purchases of Notes HFS</t>
        </is>
      </c>
      <c r="G113" s="8" t="n">
        <v>0</v>
      </c>
      <c r="H113" s="8" t="n">
        <v>0</v>
      </c>
      <c r="I113" s="8" t="n">
        <v>0</v>
      </c>
      <c r="J113" s="8" t="n">
        <v>0</v>
      </c>
      <c r="K113" s="8" t="n">
        <v>0</v>
      </c>
      <c r="L113" s="8" t="n">
        <v>-44</v>
      </c>
      <c r="M113" s="8" t="n">
        <v>-52</v>
      </c>
      <c r="N113" s="8" t="n">
        <v>0</v>
      </c>
      <c r="O113" s="8" t="n">
        <v>0</v>
      </c>
      <c r="P113" s="8" t="n">
        <v>0</v>
      </c>
      <c r="Q113" s="8" t="n">
        <v>0</v>
      </c>
      <c r="R113" s="8" t="n">
        <v>0</v>
      </c>
      <c r="S113" s="8" t="n">
        <v>0</v>
      </c>
      <c r="T113" s="8" t="n">
        <v>0</v>
      </c>
      <c r="U113" s="8" t="n">
        <v>0</v>
      </c>
      <c r="V113" s="8" t="n">
        <v>0</v>
      </c>
      <c r="W113" s="16" t="n">
        <v>0</v>
      </c>
      <c r="X113" s="16" t="n">
        <v>0</v>
      </c>
      <c r="Y113" s="16" t="n">
        <v>0</v>
      </c>
      <c r="Z113" s="16" t="n">
        <v>0</v>
      </c>
      <c r="AA113" s="16" t="n">
        <v>0</v>
      </c>
      <c r="AB113" s="16" t="n">
        <v>0</v>
      </c>
      <c r="AC113" s="16" t="n">
        <v>0</v>
      </c>
      <c r="AD113" s="16" t="n">
        <v>0</v>
      </c>
      <c r="AF113" s="8" t="n">
        <v>-41</v>
      </c>
      <c r="AG113" s="8" t="n">
        <v>0</v>
      </c>
      <c r="AH113" s="8" t="n">
        <v>0</v>
      </c>
      <c r="AI113" s="8" t="n">
        <v>-96</v>
      </c>
      <c r="AJ113" s="8" t="n">
        <v>0</v>
      </c>
      <c r="AK113" s="16">
        <f>T113+U113+V113+W113</f>
        <v/>
      </c>
      <c r="AL113" s="16">
        <f>X113+Y113+Z113+AA113</f>
        <v/>
      </c>
      <c r="AM113" s="16" t="n">
        <v>0</v>
      </c>
      <c r="AN113" s="16" t="n">
        <v>0</v>
      </c>
      <c r="AO113" s="16" t="n">
        <v>0</v>
      </c>
    </row>
    <row r="114">
      <c r="C114" s="9" t="inlineStr">
        <is>
          <t>Sales / Repayments of Notes HFS</t>
        </is>
      </c>
      <c r="G114" s="8" t="n">
        <v>0</v>
      </c>
      <c r="H114" s="8" t="n">
        <v>0</v>
      </c>
      <c r="I114" s="8" t="n">
        <v>0</v>
      </c>
      <c r="J114" s="8" t="n">
        <v>0</v>
      </c>
      <c r="K114" s="8" t="n">
        <v>0</v>
      </c>
      <c r="L114" s="8" t="n">
        <v>35</v>
      </c>
      <c r="M114" s="8" t="n">
        <v>41</v>
      </c>
      <c r="N114" s="8" t="n">
        <v>22</v>
      </c>
      <c r="O114" s="8" t="n">
        <v>0</v>
      </c>
      <c r="P114" s="8" t="n">
        <v>0</v>
      </c>
      <c r="Q114" s="8" t="n">
        <v>0</v>
      </c>
      <c r="R114" s="8" t="n">
        <v>0</v>
      </c>
      <c r="S114" s="8" t="n">
        <v>0</v>
      </c>
      <c r="T114" s="8" t="n">
        <v>0</v>
      </c>
      <c r="U114" s="8" t="n">
        <v>0</v>
      </c>
      <c r="V114" s="8" t="n">
        <v>0</v>
      </c>
      <c r="W114" s="16" t="n">
        <v>0</v>
      </c>
      <c r="X114" s="16" t="n">
        <v>0</v>
      </c>
      <c r="Y114" s="16" t="n">
        <v>0</v>
      </c>
      <c r="Z114" s="16" t="n">
        <v>0</v>
      </c>
      <c r="AA114" s="16" t="n">
        <v>0</v>
      </c>
      <c r="AB114" s="16" t="n">
        <v>0</v>
      </c>
      <c r="AC114" s="16" t="n">
        <v>0</v>
      </c>
      <c r="AD114" s="16" t="n">
        <v>0</v>
      </c>
      <c r="AF114" s="8" t="n">
        <v>143</v>
      </c>
      <c r="AG114" s="8" t="n">
        <v>0</v>
      </c>
      <c r="AH114" s="8" t="n">
        <v>0</v>
      </c>
      <c r="AI114" s="8" t="n">
        <v>98</v>
      </c>
      <c r="AJ114" s="8" t="n">
        <v>0</v>
      </c>
      <c r="AK114" s="16">
        <f>T114+U114+V114+W114</f>
        <v/>
      </c>
      <c r="AL114" s="16">
        <f>X114+Y114+Z114+AA114</f>
        <v/>
      </c>
      <c r="AM114" s="16" t="n">
        <v>0</v>
      </c>
      <c r="AN114" s="16" t="n">
        <v>0</v>
      </c>
      <c r="AO114" s="16" t="n">
        <v>0</v>
      </c>
    </row>
    <row r="115">
      <c r="C115" s="9" t="inlineStr">
        <is>
          <t>Δ Accounts Receivable</t>
        </is>
      </c>
      <c r="G115" s="8" t="n">
        <v>292</v>
      </c>
      <c r="H115" s="8" t="n">
        <v>62</v>
      </c>
      <c r="I115" s="8" t="n">
        <v>-518</v>
      </c>
      <c r="J115" s="8" t="n">
        <v>187</v>
      </c>
      <c r="K115" s="8" t="n">
        <v>311</v>
      </c>
      <c r="L115" s="8" t="n">
        <v>33</v>
      </c>
      <c r="M115" s="8" t="n">
        <v>-555</v>
      </c>
      <c r="N115" s="8" t="n">
        <v>138</v>
      </c>
      <c r="O115" s="8" t="n">
        <v>332</v>
      </c>
      <c r="P115" s="8" t="n">
        <v>31</v>
      </c>
      <c r="Q115" s="8" t="n">
        <v>-591</v>
      </c>
      <c r="R115" s="8" t="n">
        <v>293</v>
      </c>
      <c r="S115" s="8" t="n">
        <v>196</v>
      </c>
      <c r="T115" s="8" t="n">
        <v>-49</v>
      </c>
      <c r="U115" s="8" t="n">
        <v>-596</v>
      </c>
      <c r="V115" s="8" t="n">
        <v>342</v>
      </c>
      <c r="W115" s="16">
        <f>-(W55-V55)</f>
        <v/>
      </c>
      <c r="X115" s="16">
        <f>-(X55-W55)</f>
        <v/>
      </c>
      <c r="Y115" s="16">
        <f>-(Y55-X55)</f>
        <v/>
      </c>
      <c r="Z115" s="16">
        <f>-(Z55-Y55)</f>
        <v/>
      </c>
      <c r="AA115" s="16">
        <f>-(AA55-Z55)</f>
        <v/>
      </c>
      <c r="AB115" s="16">
        <f>-(AB55-AA55)</f>
        <v/>
      </c>
      <c r="AC115" s="16">
        <f>-(AC55-AB55)</f>
        <v/>
      </c>
      <c r="AD115" s="16">
        <f>-(AD55-AC55)</f>
        <v/>
      </c>
      <c r="AF115" s="8" t="n">
        <v>-104</v>
      </c>
      <c r="AG115" s="8" t="n">
        <v>-31</v>
      </c>
      <c r="AH115" s="8" t="n">
        <v>42</v>
      </c>
      <c r="AI115" s="8" t="n">
        <v>-52</v>
      </c>
      <c r="AJ115" s="8" t="n">
        <v>-71</v>
      </c>
      <c r="AK115" s="16">
        <f>T115+U115+V115+W115</f>
        <v/>
      </c>
      <c r="AL115" s="16">
        <f>X115+Y115+Z115+AA115</f>
        <v/>
      </c>
      <c r="AM115" s="16">
        <f>-(AM55-AJ55)</f>
        <v/>
      </c>
      <c r="AN115" s="16">
        <f>-(AN55-AM55)</f>
        <v/>
      </c>
      <c r="AO115" s="16">
        <f>-(AO55-AN55)</f>
        <v/>
      </c>
    </row>
    <row r="116">
      <c r="C116" s="9" t="inlineStr">
        <is>
          <t>Δ Income Taxes Receivable</t>
        </is>
      </c>
      <c r="G116" s="8" t="n">
        <v>-88</v>
      </c>
      <c r="H116" s="8" t="n">
        <v>6</v>
      </c>
      <c r="I116" s="8" t="n">
        <v>21</v>
      </c>
      <c r="J116" s="8" t="n">
        <v>64</v>
      </c>
      <c r="K116" s="8" t="n">
        <v>-27</v>
      </c>
      <c r="L116" s="8" t="n">
        <v>12</v>
      </c>
      <c r="M116" s="8" t="n">
        <v>-109</v>
      </c>
      <c r="N116" s="8" t="n">
        <v>122</v>
      </c>
      <c r="O116" s="8" t="n">
        <v>-73</v>
      </c>
      <c r="P116" s="8" t="n">
        <v>51</v>
      </c>
      <c r="Q116" s="8" t="n">
        <v>-64</v>
      </c>
      <c r="R116" s="8" t="n">
        <v>82</v>
      </c>
      <c r="S116" s="8" t="n">
        <v>-42</v>
      </c>
      <c r="T116" s="8" t="n">
        <v>19</v>
      </c>
      <c r="U116" s="8" t="n">
        <v>-52</v>
      </c>
      <c r="V116" s="8" t="n">
        <v>31</v>
      </c>
      <c r="W116" s="16" t="n">
        <v>0</v>
      </c>
      <c r="X116" s="16" t="n">
        <v>0</v>
      </c>
      <c r="Y116" s="16" t="n">
        <v>0</v>
      </c>
      <c r="Z116" s="16" t="n">
        <v>0</v>
      </c>
      <c r="AA116" s="16" t="n">
        <v>0</v>
      </c>
      <c r="AB116" s="16" t="n">
        <v>0</v>
      </c>
      <c r="AC116" s="16" t="n">
        <v>0</v>
      </c>
      <c r="AD116" s="16" t="n">
        <v>0</v>
      </c>
      <c r="AF116" s="8" t="n">
        <v>-51</v>
      </c>
      <c r="AG116" s="8" t="n">
        <v>29</v>
      </c>
      <c r="AH116" s="8" t="n">
        <v>64</v>
      </c>
      <c r="AI116" s="8" t="n">
        <v>-48</v>
      </c>
      <c r="AJ116" s="8" t="n">
        <v>27</v>
      </c>
      <c r="AK116" s="16">
        <f>T116+U116+V116+W116</f>
        <v/>
      </c>
      <c r="AL116" s="16">
        <f>X116+Y116+Z116+AA116</f>
        <v/>
      </c>
      <c r="AM116" s="16" t="n">
        <v>0</v>
      </c>
      <c r="AN116" s="16" t="n">
        <v>0</v>
      </c>
      <c r="AO116" s="16" t="n">
        <v>0</v>
      </c>
    </row>
    <row r="117">
      <c r="C117" s="9" t="inlineStr">
        <is>
          <t>Δ Prepaid + Other Assets</t>
        </is>
      </c>
      <c r="G117" s="8" t="n">
        <v>-33</v>
      </c>
      <c r="H117" s="8" t="n">
        <v>-35</v>
      </c>
      <c r="I117" s="8" t="n">
        <v>-73</v>
      </c>
      <c r="J117" s="8" t="n">
        <v>-178</v>
      </c>
      <c r="K117" s="8" t="n">
        <v>211</v>
      </c>
      <c r="L117" s="8" t="n">
        <v>-33</v>
      </c>
      <c r="M117" s="8" t="n">
        <v>29</v>
      </c>
      <c r="N117" s="8" t="n">
        <v>22</v>
      </c>
      <c r="O117" s="8" t="n">
        <v>-48</v>
      </c>
      <c r="P117" s="8" t="n">
        <v>-27</v>
      </c>
      <c r="Q117" s="8" t="n">
        <v>-181</v>
      </c>
      <c r="R117" s="8" t="n">
        <v>-19</v>
      </c>
      <c r="S117" s="8" t="n">
        <v>-56</v>
      </c>
      <c r="T117" s="8" t="n">
        <v>-119</v>
      </c>
      <c r="U117" s="8" t="n">
        <v>-85</v>
      </c>
      <c r="V117" s="8" t="n">
        <v>56</v>
      </c>
      <c r="W117" s="16" t="n">
        <v>0</v>
      </c>
      <c r="X117" s="16" t="n">
        <v>0</v>
      </c>
      <c r="Y117" s="16" t="n">
        <v>0</v>
      </c>
      <c r="Z117" s="16" t="n">
        <v>0</v>
      </c>
      <c r="AA117" s="16" t="n">
        <v>0</v>
      </c>
      <c r="AB117" s="16" t="n">
        <v>0</v>
      </c>
      <c r="AC117" s="16" t="n">
        <v>0</v>
      </c>
      <c r="AD117" s="16" t="n">
        <v>0</v>
      </c>
      <c r="AF117" s="8" t="n">
        <v>30</v>
      </c>
      <c r="AG117" s="8" t="n">
        <v>-121</v>
      </c>
      <c r="AH117" s="8" t="n">
        <v>-75</v>
      </c>
      <c r="AI117" s="8" t="n">
        <v>-30</v>
      </c>
      <c r="AJ117" s="8" t="n">
        <v>-283</v>
      </c>
      <c r="AK117" s="16">
        <f>T117+U117+V117+W117</f>
        <v/>
      </c>
      <c r="AL117" s="16">
        <f>X117+Y117+Z117+AA117</f>
        <v/>
      </c>
      <c r="AM117" s="16" t="n">
        <v>0</v>
      </c>
      <c r="AN117" s="16" t="n">
        <v>0</v>
      </c>
      <c r="AO117" s="16" t="n">
        <v>0</v>
      </c>
    </row>
    <row r="118">
      <c r="C118" s="9" t="inlineStr">
        <is>
          <t>Δ Accounts Payable</t>
        </is>
      </c>
      <c r="G118" s="8" t="n">
        <v>-181</v>
      </c>
      <c r="H118" s="8" t="n">
        <v>-71</v>
      </c>
      <c r="I118" s="8" t="n">
        <v>131</v>
      </c>
      <c r="J118" s="8" t="n">
        <v>152</v>
      </c>
      <c r="K118" s="8" t="n">
        <v>-309</v>
      </c>
      <c r="L118" s="8" t="n">
        <v>-5</v>
      </c>
      <c r="M118" s="8" t="n">
        <v>156</v>
      </c>
      <c r="N118" s="8" t="n">
        <v>135</v>
      </c>
      <c r="O118" s="8" t="n">
        <v>-153</v>
      </c>
      <c r="P118" s="8" t="n">
        <v>-75</v>
      </c>
      <c r="Q118" s="8" t="n">
        <v>394</v>
      </c>
      <c r="R118" s="8" t="n">
        <v>-34</v>
      </c>
      <c r="S118" s="8" t="n">
        <v>-212</v>
      </c>
      <c r="T118" s="8" t="n">
        <v>-135</v>
      </c>
      <c r="U118" s="8" t="n">
        <v>266</v>
      </c>
      <c r="V118" s="8" t="n">
        <v>150</v>
      </c>
      <c r="W118" s="16">
        <f>W75-V75</f>
        <v/>
      </c>
      <c r="X118" s="16">
        <f>X75-W75</f>
        <v/>
      </c>
      <c r="Y118" s="16">
        <f>Y75-X75</f>
        <v/>
      </c>
      <c r="Z118" s="16">
        <f>Z75-Y75</f>
        <v/>
      </c>
      <c r="AA118" s="16">
        <f>AA75-Z75</f>
        <v/>
      </c>
      <c r="AB118" s="16">
        <f>AB75-AA75</f>
        <v/>
      </c>
      <c r="AC118" s="16">
        <f>AC75-AB75</f>
        <v/>
      </c>
      <c r="AD118" s="16">
        <f>AD75-AC75</f>
        <v/>
      </c>
      <c r="AF118" s="8" t="n">
        <v>206</v>
      </c>
      <c r="AG118" s="8" t="n">
        <v>-95</v>
      </c>
      <c r="AH118" s="8" t="n">
        <v>-97</v>
      </c>
      <c r="AI118" s="8" t="n">
        <v>133</v>
      </c>
      <c r="AJ118" s="8" t="n">
        <v>73</v>
      </c>
      <c r="AK118" s="16">
        <f>T118+U118+V118+W118</f>
        <v/>
      </c>
      <c r="AL118" s="16">
        <f>X118+Y118+Z118+AA118</f>
        <v/>
      </c>
      <c r="AM118" s="16">
        <f>AM75-AJ75</f>
        <v/>
      </c>
      <c r="AN118" s="16">
        <f>AN75-AM75</f>
        <v/>
      </c>
      <c r="AO118" s="16">
        <f>AO75-AN75</f>
        <v/>
      </c>
    </row>
    <row r="119">
      <c r="C119" s="9" t="inlineStr">
        <is>
          <t>Δ Accrued Compensation</t>
        </is>
      </c>
      <c r="G119" s="8" t="n">
        <v>35</v>
      </c>
      <c r="H119" s="8" t="n">
        <v>-175</v>
      </c>
      <c r="I119" s="8" t="n">
        <v>100</v>
      </c>
      <c r="J119" s="8" t="n">
        <v>120</v>
      </c>
      <c r="K119" s="8" t="n">
        <v>43</v>
      </c>
      <c r="L119" s="8" t="n">
        <v>-232</v>
      </c>
      <c r="M119" s="8" t="n">
        <v>113</v>
      </c>
      <c r="N119" s="8" t="n">
        <v>139</v>
      </c>
      <c r="O119" s="8" t="n">
        <v>237</v>
      </c>
      <c r="P119" s="8" t="n">
        <v>-507</v>
      </c>
      <c r="Q119" s="8" t="n">
        <v>207</v>
      </c>
      <c r="R119" s="8" t="n">
        <v>127</v>
      </c>
      <c r="S119" s="8" t="n">
        <v>109</v>
      </c>
      <c r="T119" s="8" t="n">
        <v>-378</v>
      </c>
      <c r="U119" s="8" t="n">
        <v>213</v>
      </c>
      <c r="V119" s="8" t="n">
        <v>63</v>
      </c>
      <c r="W119" s="16">
        <f>W76-V76</f>
        <v/>
      </c>
      <c r="X119" s="16">
        <f>X76-W76</f>
        <v/>
      </c>
      <c r="Y119" s="16">
        <f>Y76-X76</f>
        <v/>
      </c>
      <c r="Z119" s="16">
        <f>Z76-Y76</f>
        <v/>
      </c>
      <c r="AA119" s="16">
        <f>AA76-Z76</f>
        <v/>
      </c>
      <c r="AB119" s="16">
        <f>AB76-AA76</f>
        <v/>
      </c>
      <c r="AC119" s="16">
        <f>AC76-AB76</f>
        <v/>
      </c>
      <c r="AD119" s="16">
        <f>AD76-AC76</f>
        <v/>
      </c>
      <c r="AF119" s="8" t="n">
        <v>-70</v>
      </c>
      <c r="AG119" s="8" t="n">
        <v>-357</v>
      </c>
      <c r="AH119" s="8" t="n">
        <v>88</v>
      </c>
      <c r="AI119" s="8" t="n">
        <v>257</v>
      </c>
      <c r="AJ119" s="8" t="n">
        <v>-64</v>
      </c>
      <c r="AK119" s="16">
        <f>T119+U119+V119+W119</f>
        <v/>
      </c>
      <c r="AL119" s="16">
        <f>X119+Y119+Z119+AA119</f>
        <v/>
      </c>
      <c r="AM119" s="16">
        <f>AM76-AJ76</f>
        <v/>
      </c>
      <c r="AN119" s="16">
        <f>AN76-AM76</f>
        <v/>
      </c>
      <c r="AO119" s="16">
        <f>AO76-AN76</f>
        <v/>
      </c>
    </row>
    <row r="120">
      <c r="C120" s="9" t="inlineStr">
        <is>
          <t>Δ Deferred Revenue</t>
        </is>
      </c>
      <c r="G120" s="8" t="n">
        <v>73</v>
      </c>
      <c r="H120" s="8" t="n">
        <v>-111</v>
      </c>
      <c r="I120" s="8" t="n">
        <v>151</v>
      </c>
      <c r="J120" s="8" t="n">
        <v>-22</v>
      </c>
      <c r="K120" s="8" t="n">
        <v>93</v>
      </c>
      <c r="L120" s="8" t="n">
        <v>-159</v>
      </c>
      <c r="M120" s="8" t="n">
        <v>122</v>
      </c>
      <c r="N120" s="8" t="n">
        <v>-42</v>
      </c>
      <c r="O120" s="8" t="n">
        <v>30</v>
      </c>
      <c r="P120" s="8" t="n">
        <v>19</v>
      </c>
      <c r="Q120" s="8" t="n">
        <v>135</v>
      </c>
      <c r="R120" s="8" t="n">
        <v>-70</v>
      </c>
      <c r="S120" s="8" t="n">
        <v>58</v>
      </c>
      <c r="T120" s="8" t="n">
        <v>25</v>
      </c>
      <c r="U120" s="8" t="n">
        <v>94</v>
      </c>
      <c r="V120" s="8" t="n">
        <v>-86</v>
      </c>
      <c r="W120" s="16">
        <f>W77-V77</f>
        <v/>
      </c>
      <c r="X120" s="16">
        <f>X77-W77</f>
        <v/>
      </c>
      <c r="Y120" s="16">
        <f>Y77-X77</f>
        <v/>
      </c>
      <c r="Z120" s="16">
        <f>Z77-Y77</f>
        <v/>
      </c>
      <c r="AA120" s="16">
        <f>AA77-Z77</f>
        <v/>
      </c>
      <c r="AB120" s="16">
        <f>AB77-AA77</f>
        <v/>
      </c>
      <c r="AC120" s="16">
        <f>AC77-AB77</f>
        <v/>
      </c>
      <c r="AD120" s="16">
        <f>AD77-AC77</f>
        <v/>
      </c>
      <c r="AF120" s="8" t="n">
        <v>22</v>
      </c>
      <c r="AG120" s="8" t="n">
        <v>71</v>
      </c>
      <c r="AH120" s="8" t="n">
        <v>111</v>
      </c>
      <c r="AI120" s="8" t="n">
        <v>-49</v>
      </c>
      <c r="AJ120" s="8" t="n">
        <v>142</v>
      </c>
      <c r="AK120" s="16">
        <f>T120+U120+V120+W120</f>
        <v/>
      </c>
      <c r="AL120" s="16">
        <f>X120+Y120+Z120+AA120</f>
        <v/>
      </c>
      <c r="AM120" s="16">
        <f>AM77-AJ77</f>
        <v/>
      </c>
      <c r="AN120" s="16">
        <f>AN77-AM77</f>
        <v/>
      </c>
      <c r="AO120" s="16">
        <f>AO77-AN77</f>
        <v/>
      </c>
    </row>
    <row r="121">
      <c r="C121" s="9" t="inlineStr">
        <is>
          <t>Δ Income Taxes Payable</t>
        </is>
      </c>
      <c r="G121" s="8" t="n">
        <v>0</v>
      </c>
      <c r="H121" s="8" t="n">
        <v>0</v>
      </c>
      <c r="I121" s="8" t="n">
        <v>0</v>
      </c>
      <c r="J121" s="8" t="n">
        <v>0</v>
      </c>
      <c r="K121" s="8" t="n">
        <v>44</v>
      </c>
      <c r="L121" s="8" t="n">
        <v>-565</v>
      </c>
      <c r="M121" s="8" t="n">
        <v>-132</v>
      </c>
      <c r="N121" s="8" t="n">
        <v>435</v>
      </c>
      <c r="O121" s="8" t="n">
        <v>-429</v>
      </c>
      <c r="P121" s="8" t="n">
        <v>12</v>
      </c>
      <c r="Q121" s="8" t="n">
        <v>10</v>
      </c>
      <c r="R121" s="8" t="n">
        <v>584</v>
      </c>
      <c r="S121" s="8" t="n">
        <v>0</v>
      </c>
      <c r="T121" s="8" t="n">
        <v>0</v>
      </c>
      <c r="U121" s="8" t="n">
        <v>0</v>
      </c>
      <c r="V121" s="8" t="n">
        <v>0</v>
      </c>
      <c r="W121" s="16" t="n">
        <v>0</v>
      </c>
      <c r="X121" s="16" t="n">
        <v>0</v>
      </c>
      <c r="Y121" s="16" t="n">
        <v>0</v>
      </c>
      <c r="Z121" s="16" t="n">
        <v>0</v>
      </c>
      <c r="AA121" s="16" t="n">
        <v>0</v>
      </c>
      <c r="AB121" s="16" t="n">
        <v>0</v>
      </c>
      <c r="AC121" s="16" t="n">
        <v>0</v>
      </c>
      <c r="AD121" s="16" t="n">
        <v>0</v>
      </c>
      <c r="AF121" s="8" t="n">
        <v>0</v>
      </c>
      <c r="AG121" s="8" t="n">
        <v>0</v>
      </c>
      <c r="AH121" s="8" t="n">
        <v>690</v>
      </c>
      <c r="AI121" s="8" t="n">
        <v>0</v>
      </c>
      <c r="AJ121" s="8" t="n">
        <v>0</v>
      </c>
      <c r="AK121" s="16">
        <f>T121+U121+V121+W121</f>
        <v/>
      </c>
      <c r="AL121" s="16">
        <f>X121+Y121+Z121+AA121</f>
        <v/>
      </c>
      <c r="AM121" s="16" t="n">
        <v>0</v>
      </c>
      <c r="AN121" s="16" t="n">
        <v>0</v>
      </c>
      <c r="AO121" s="16" t="n">
        <v>0</v>
      </c>
    </row>
    <row r="122">
      <c r="C122" s="9" t="inlineStr">
        <is>
          <t>Δ Operating Lease Liabilities</t>
        </is>
      </c>
      <c r="G122" s="8" t="n">
        <v>-21</v>
      </c>
      <c r="H122" s="8" t="n">
        <v>-18</v>
      </c>
      <c r="I122" s="8" t="n">
        <v>-20</v>
      </c>
      <c r="J122" s="8" t="n">
        <v>-21</v>
      </c>
      <c r="K122" s="8" t="n">
        <v>-22</v>
      </c>
      <c r="L122" s="8" t="n">
        <v>-20</v>
      </c>
      <c r="M122" s="8" t="n">
        <v>-13</v>
      </c>
      <c r="N122" s="8" t="n">
        <v>-12</v>
      </c>
      <c r="O122" s="8" t="n">
        <v>-26</v>
      </c>
      <c r="P122" s="8" t="n">
        <v>-22</v>
      </c>
      <c r="Q122" s="8" t="n">
        <v>-24</v>
      </c>
      <c r="R122" s="8" t="n">
        <v>-13</v>
      </c>
      <c r="S122" s="8" t="n">
        <v>-18</v>
      </c>
      <c r="T122" s="8" t="n">
        <v>-23</v>
      </c>
      <c r="U122" s="8" t="n">
        <v>-16</v>
      </c>
      <c r="V122" s="8" t="n">
        <v>-26</v>
      </c>
      <c r="W122" s="16" t="n">
        <v>0</v>
      </c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0</v>
      </c>
      <c r="AC122" s="16" t="n">
        <v>0</v>
      </c>
      <c r="AD122" s="16" t="n">
        <v>0</v>
      </c>
      <c r="AF122" s="8" t="n">
        <v>-66</v>
      </c>
      <c r="AG122" s="8" t="n">
        <v>-83</v>
      </c>
      <c r="AH122" s="8" t="n">
        <v>-81</v>
      </c>
      <c r="AI122" s="8" t="n">
        <v>-71</v>
      </c>
      <c r="AJ122" s="8" t="n">
        <v>-77</v>
      </c>
      <c r="AK122" s="16">
        <f>T122+U122+V122+W122</f>
        <v/>
      </c>
      <c r="AL122" s="16">
        <f>X122+Y122+Z122+AA122</f>
        <v/>
      </c>
      <c r="AM122" s="16" t="n">
        <v>0</v>
      </c>
      <c r="AN122" s="16" t="n">
        <v>0</v>
      </c>
      <c r="AO122" s="16" t="n">
        <v>0</v>
      </c>
    </row>
    <row r="123">
      <c r="C123" s="9" t="inlineStr">
        <is>
          <t>Δ Other Liabilities</t>
        </is>
      </c>
      <c r="G123" s="8" t="n">
        <v>-99</v>
      </c>
      <c r="H123" s="8" t="n">
        <v>-7</v>
      </c>
      <c r="I123" s="8" t="n">
        <v>-100</v>
      </c>
      <c r="J123" s="8" t="n">
        <v>16</v>
      </c>
      <c r="K123" s="8" t="n">
        <v>-50</v>
      </c>
      <c r="L123" s="8" t="n">
        <v>30</v>
      </c>
      <c r="M123" s="8" t="n">
        <v>129</v>
      </c>
      <c r="N123" s="8" t="n">
        <v>-29</v>
      </c>
      <c r="O123" s="8" t="n">
        <v>-8</v>
      </c>
      <c r="P123" s="8" t="n">
        <v>-20</v>
      </c>
      <c r="Q123" s="8" t="n">
        <v>97</v>
      </c>
      <c r="R123" s="8" t="n">
        <v>-28</v>
      </c>
      <c r="S123" s="8" t="n">
        <v>-2</v>
      </c>
      <c r="T123" s="8" t="n">
        <v>24</v>
      </c>
      <c r="U123" s="8" t="n">
        <v>110</v>
      </c>
      <c r="V123" s="8" t="n">
        <v>33</v>
      </c>
      <c r="W123" s="16" t="n">
        <v>0</v>
      </c>
      <c r="X123" s="16" t="n">
        <v>0</v>
      </c>
      <c r="Y123" s="16" t="n">
        <v>0</v>
      </c>
      <c r="Z123" s="16" t="n">
        <v>0</v>
      </c>
      <c r="AA123" s="16" t="n">
        <v>0</v>
      </c>
      <c r="AB123" s="16" t="n">
        <v>0</v>
      </c>
      <c r="AC123" s="16" t="n">
        <v>0</v>
      </c>
      <c r="AD123" s="16" t="n">
        <v>0</v>
      </c>
      <c r="AF123" s="8" t="n">
        <v>22</v>
      </c>
      <c r="AG123" s="8" t="n">
        <v>151</v>
      </c>
      <c r="AH123" s="8" t="n">
        <v>-141</v>
      </c>
      <c r="AI123" s="8" t="n">
        <v>-569</v>
      </c>
      <c r="AJ123" s="8" t="n">
        <v>47</v>
      </c>
      <c r="AK123" s="16">
        <f>T123+U123+V123+W123</f>
        <v/>
      </c>
      <c r="AL123" s="16">
        <f>X123+Y123+Z123+AA123</f>
        <v/>
      </c>
      <c r="AM123" s="16" t="n">
        <v>0</v>
      </c>
      <c r="AN123" s="16" t="n">
        <v>0</v>
      </c>
      <c r="AO123" s="16" t="n">
        <v>0</v>
      </c>
    </row>
    <row r="124">
      <c r="B124" s="6" t="inlineStr">
        <is>
          <t>Cash Flow from Operating Activities</t>
        </is>
      </c>
      <c r="G124" s="10">
        <f>G105+G106+G107+G108+G109+G110+G111+G112+G113+G114+G115+G116+G117+G118+G119+G120+G121+G122+G123</f>
        <v/>
      </c>
      <c r="H124" s="10">
        <f>H105+H106+H107+H108+H109+H110+H111+H112+H113+H114+H115+H116+H117+H118+H119+H120+H121+H122+H123</f>
        <v/>
      </c>
      <c r="I124" s="10">
        <f>I105+I106+I107+I108+I109+I110+I111+I112+I113+I114+I115+I116+I117+I118+I119+I120+I121+I122+I123</f>
        <v/>
      </c>
      <c r="J124" s="10">
        <f>J105+J106+J107+J108+J109+J110+J111+J112+J113+J114+J115+J116+J117+J118+J119+J120+J121+J122+J123</f>
        <v/>
      </c>
      <c r="K124" s="10">
        <f>K105+K106+K107+K108+K109+K110+K111+K112+K113+K114+K115+K116+K117+K118+K119+K120+K121+K122+K123</f>
        <v/>
      </c>
      <c r="L124" s="10">
        <f>L105+L106+L107+L108+L109+L110+L111+L112+L113+L114+L115+L116+L117+L118+L119+L120+L121+L122+L123</f>
        <v/>
      </c>
      <c r="M124" s="10">
        <f>M105+M106+M107+M108+M109+M110+M111+M112+M113+M114+M115+M116+M117+M118+M119+M120+M121+M122+M123</f>
        <v/>
      </c>
      <c r="N124" s="10">
        <f>N105+N106+N107+N108+N109+N110+N111+N112+N113+N114+N115+N116+N117+N118+N119+N120+N121+N122+N123</f>
        <v/>
      </c>
      <c r="O124" s="10">
        <f>O105+O106+O107+O108+O109+O110+O111+O112+O113+O114+O115+O116+O117+O118+O119+O120+O121+O122+O123</f>
        <v/>
      </c>
      <c r="P124" s="10">
        <f>P105+P106+P107+P108+P109+P110+P111+P112+P113+P114+P115+P116+P117+P118+P119+P120+P121+P122+P123</f>
        <v/>
      </c>
      <c r="Q124" s="10">
        <f>Q105+Q106+Q107+Q108+Q109+Q110+Q111+Q112+Q113+Q114+Q115+Q116+Q117+Q118+Q119+Q120+Q121+Q122+Q123</f>
        <v/>
      </c>
      <c r="R124" s="10">
        <f>R105+R106+R107+R108+R109+R110+R111+R112+R113+R114+R115+R116+R117+R118+R119+R120+R121+R122+R123</f>
        <v/>
      </c>
      <c r="S124" s="10">
        <f>S105+S106+S107+S108+S109+S110+S111+S112+S113+S114+S115+S116+S117+S118+S119+S120+S121+S122+S123</f>
        <v/>
      </c>
      <c r="T124" s="10">
        <f>T105+T106+T107+T108+T109+T110+T111+T112+T113+T114+T115+T116+T117+T118+T119+T120+T121+T122+T123</f>
        <v/>
      </c>
      <c r="U124" s="10">
        <f>U105+U106+U107+U108+U109+U110+U111+U112+U113+U114+U115+U116+U117+U118+U119+U120+U121+U122+U123</f>
        <v/>
      </c>
      <c r="V124" s="10">
        <f>V105+V106+V107+V108+V109+V110+V111+V112+V113+V114+V115+V116+V117+V118+V119+V120+V121+V122+V123</f>
        <v/>
      </c>
      <c r="W124" s="10">
        <f>W105+W106+W107+W108+W109+W110+W111+W112+W113+W114+W115+W116+W117+W118+W119+W120+W121+W122+W123</f>
        <v/>
      </c>
      <c r="X124" s="10">
        <f>X105+X106+X107+X108+X109+X110+X111+X112+X113+X114+X115+X116+X117+X118+X119+X120+X121+X122+X123</f>
        <v/>
      </c>
      <c r="Y124" s="10">
        <f>Y105+Y106+Y107+Y108+Y109+Y110+Y111+Y112+Y113+Y114+Y115+Y116+Y117+Y118+Y119+Y120+Y121+Y122+Y123</f>
        <v/>
      </c>
      <c r="Z124" s="10">
        <f>Z105+Z106+Z107+Z108+Z109+Z110+Z111+Z112+Z113+Z114+Z115+Z116+Z117+Z118+Z119+Z120+Z121+Z122+Z123</f>
        <v/>
      </c>
      <c r="AA124" s="10">
        <f>AA105+AA106+AA107+AA108+AA109+AA110+AA111+AA112+AA113+AA114+AA115+AA116+AA117+AA118+AA119+AA120+AA121+AA122+AA123</f>
        <v/>
      </c>
      <c r="AB124" s="10">
        <f>AB105+AB106+AB107+AB108+AB109+AB110+AB111+AB112+AB113+AB114+AB115+AB116+AB117+AB118+AB119+AB120+AB121+AB122+AB123</f>
        <v/>
      </c>
      <c r="AC124" s="10">
        <f>AC105+AC106+AC107+AC108+AC109+AC110+AC111+AC112+AC113+AC114+AC115+AC116+AC117+AC118+AC119+AC120+AC121+AC122+AC123</f>
        <v/>
      </c>
      <c r="AD124" s="10">
        <f>AD105+AD106+AD107+AD108+AD109+AD110+AD111+AD112+AD113+AD114+AD115+AD116+AD117+AD118+AD119+AD120+AD121+AD122+AD123</f>
        <v/>
      </c>
      <c r="AF124" s="10">
        <f>AF105+AF106+AF107+AF108+AF109+AF110+AF111+AF112+AF113+AF114+AF115+AF116+AF117+AF118+AF119+AF120+AF121+AF122+AF123</f>
        <v/>
      </c>
      <c r="AG124" s="10">
        <f>AG105+AG106+AG107+AG108+AG109+AG110+AG111+AG112+AG113+AG114+AG115+AG116+AG117+AG118+AG119+AG120+AG121+AG122+AG123</f>
        <v/>
      </c>
      <c r="AH124" s="10">
        <f>AH105+AH106+AH107+AH108+AH109+AH110+AH111+AH112+AH113+AH114+AH115+AH116+AH117+AH118+AH119+AH120+AH121+AH122+AH123</f>
        <v/>
      </c>
      <c r="AI124" s="10">
        <f>AI105+AI106+AI107+AI108+AI109+AI110+AI111+AI112+AI113+AI114+AI115+AI116+AI117+AI118+AI119+AI120+AI121+AI122+AI123</f>
        <v/>
      </c>
      <c r="AJ124" s="10">
        <f>AJ105+AJ106+AJ107+AJ108+AJ109+AJ110+AJ111+AJ112+AJ113+AJ114+AJ115+AJ116+AJ117+AJ118+AJ119+AJ120+AJ121+AJ122+AJ123</f>
        <v/>
      </c>
      <c r="AK124" s="10">
        <f>T124+U124+V124+W124</f>
        <v/>
      </c>
      <c r="AL124" s="10">
        <f>X124+Y124+Z124+AA124</f>
        <v/>
      </c>
      <c r="AM124" s="10">
        <f>AM105+AM106+AM107+AM108+AM109+AM110+AM111+AM112+AM113+AM114+AM115+AM116+AM117+AM118+AM119+AM120+AM121+AM122+AM123</f>
        <v/>
      </c>
      <c r="AN124" s="10">
        <f>AN105+AN106+AN107+AN108+AN109+AN110+AN111+AN112+AN113+AN114+AN115+AN116+AN117+AN118+AN119+AN120+AN121+AN122+AN123</f>
        <v/>
      </c>
      <c r="AO124" s="10">
        <f>AO105+AO106+AO107+AO108+AO109+AO110+AO111+AO112+AO113+AO114+AO115+AO116+AO117+AO118+AO119+AO120+AO121+AO122+AO123</f>
        <v/>
      </c>
    </row>
    <row r="125">
      <c r="D125" s="3" t="inlineStr">
        <is>
          <t>Recon: CFO</t>
        </is>
      </c>
      <c r="G125" s="21">
        <f>IF(_reported!G21="","",G124-_reported!G21)</f>
        <v/>
      </c>
      <c r="H125" s="21">
        <f>IF(_reported!H21="","",H124-_reported!H21)</f>
        <v/>
      </c>
      <c r="I125" s="21">
        <f>IF(_reported!I21="","",I124-_reported!I21)</f>
        <v/>
      </c>
      <c r="J125" s="21">
        <f>IF(_reported!J21="","",J124-_reported!J21)</f>
        <v/>
      </c>
      <c r="K125" s="21">
        <f>IF(_reported!K21="","",K124-_reported!K21)</f>
        <v/>
      </c>
      <c r="L125" s="21">
        <f>IF(_reported!L21="","",L124-_reported!L21)</f>
        <v/>
      </c>
      <c r="M125" s="21">
        <f>IF(_reported!M21="","",M124-_reported!M21)</f>
        <v/>
      </c>
      <c r="N125" s="21">
        <f>IF(_reported!N21="","",N124-_reported!N21)</f>
        <v/>
      </c>
      <c r="O125" s="21">
        <f>IF(_reported!O21="","",O124-_reported!O21)</f>
        <v/>
      </c>
      <c r="P125" s="21">
        <f>IF(_reported!P21="","",P124-_reported!P21)</f>
        <v/>
      </c>
      <c r="Q125" s="21">
        <f>IF(_reported!Q21="","",Q124-_reported!Q21)</f>
        <v/>
      </c>
      <c r="R125" s="21">
        <f>IF(_reported!R21="","",R124-_reported!R21)</f>
        <v/>
      </c>
      <c r="S125" s="21">
        <f>IF(_reported!S21="","",S124-_reported!S21)</f>
        <v/>
      </c>
      <c r="T125" s="21">
        <f>IF(_reported!T21="","",T124-_reported!T21)</f>
        <v/>
      </c>
      <c r="U125" s="21">
        <f>IF(_reported!U21="","",U124-_reported!U21)</f>
        <v/>
      </c>
      <c r="V125" s="21">
        <f>IF(_reported!V21="","",V124-_reported!V21)</f>
        <v/>
      </c>
      <c r="AF125" s="21">
        <f>IF(_reported!AF21="","",AF124-_reported!AF21)</f>
        <v/>
      </c>
      <c r="AG125" s="21">
        <f>IF(_reported!AG21="","",AG124-_reported!AG21)</f>
        <v/>
      </c>
      <c r="AH125" s="21">
        <f>IF(_reported!AH21="","",AH124-_reported!AH21)</f>
        <v/>
      </c>
      <c r="AI125" s="21">
        <f>IF(_reported!AI21="","",AI124-_reported!AI21)</f>
        <v/>
      </c>
      <c r="AJ125" s="21">
        <f>IF(_reported!AJ21="","",AJ124-_reported!AJ21)</f>
        <v/>
      </c>
    </row>
    <row r="126"/>
    <row r="127">
      <c r="C127" s="9" t="inlineStr">
        <is>
          <t>Purchases of Investments</t>
        </is>
      </c>
      <c r="G127" s="8" t="n">
        <v>-247</v>
      </c>
      <c r="H127" s="8" t="n">
        <v>-256</v>
      </c>
      <c r="I127" s="8" t="n">
        <v>-132</v>
      </c>
      <c r="J127" s="8" t="n">
        <v>-178</v>
      </c>
      <c r="K127" s="8" t="n">
        <v>-449</v>
      </c>
      <c r="L127" s="8" t="n">
        <v>-92</v>
      </c>
      <c r="M127" s="8" t="n">
        <v>0</v>
      </c>
      <c r="N127" s="8" t="n">
        <v>-472</v>
      </c>
      <c r="O127" s="8" t="n">
        <v>-216</v>
      </c>
      <c r="P127" s="8" t="n">
        <v>-306</v>
      </c>
      <c r="Q127" s="8" t="n">
        <v>-15</v>
      </c>
      <c r="R127" s="8" t="n">
        <v>-759</v>
      </c>
      <c r="S127" s="8" t="n">
        <v>-1283</v>
      </c>
      <c r="T127" s="8" t="n">
        <v>-101</v>
      </c>
      <c r="U127" s="8" t="n">
        <v>-14</v>
      </c>
      <c r="V127" s="8" t="n">
        <v>-2089</v>
      </c>
      <c r="W127" s="16" t="n">
        <v>0</v>
      </c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0</v>
      </c>
      <c r="AC127" s="16" t="n">
        <v>0</v>
      </c>
      <c r="AD127" s="16" t="n">
        <v>0</v>
      </c>
      <c r="AF127" s="8" t="n">
        <v>-1489</v>
      </c>
      <c r="AG127" s="8" t="n">
        <v>-830</v>
      </c>
      <c r="AH127" s="8" t="n">
        <v>-1015</v>
      </c>
      <c r="AI127" s="8" t="n">
        <v>-780</v>
      </c>
      <c r="AJ127" s="8" t="n">
        <v>-2363</v>
      </c>
      <c r="AK127" s="16">
        <f>T127+U127+V127+W127</f>
        <v/>
      </c>
      <c r="AL127" s="16">
        <f>X127+Y127+Z127+AA127</f>
        <v/>
      </c>
      <c r="AM127" s="16" t="n">
        <v>0</v>
      </c>
      <c r="AN127" s="16" t="n">
        <v>0</v>
      </c>
      <c r="AO127" s="16" t="n">
        <v>0</v>
      </c>
    </row>
    <row r="128">
      <c r="C128" s="9" t="inlineStr">
        <is>
          <t>Sales of Investments</t>
        </is>
      </c>
      <c r="G128" s="8" t="n">
        <v>76</v>
      </c>
      <c r="H128" s="8" t="n">
        <v>44</v>
      </c>
      <c r="I128" s="8" t="n">
        <v>81</v>
      </c>
      <c r="J128" s="8" t="n">
        <v>71</v>
      </c>
      <c r="K128" s="8" t="n">
        <v>44</v>
      </c>
      <c r="L128" s="8" t="n">
        <v>94</v>
      </c>
      <c r="M128" s="8" t="n">
        <v>396</v>
      </c>
      <c r="N128" s="8" t="n">
        <v>1</v>
      </c>
      <c r="O128" s="8" t="n">
        <v>35</v>
      </c>
      <c r="P128" s="8" t="n">
        <v>55</v>
      </c>
      <c r="Q128" s="8" t="n">
        <v>78</v>
      </c>
      <c r="R128" s="8" t="n">
        <v>35</v>
      </c>
      <c r="S128" s="8" t="n">
        <v>152</v>
      </c>
      <c r="T128" s="8" t="n">
        <v>115</v>
      </c>
      <c r="U128" s="8" t="n">
        <v>4</v>
      </c>
      <c r="V128" s="8" t="n">
        <v>14</v>
      </c>
      <c r="W128" s="16" t="n">
        <v>0</v>
      </c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0</v>
      </c>
      <c r="AC128" s="16" t="n">
        <v>0</v>
      </c>
      <c r="AD128" s="16" t="n">
        <v>0</v>
      </c>
      <c r="AF128" s="8" t="n">
        <v>229</v>
      </c>
      <c r="AG128" s="8" t="n">
        <v>1524</v>
      </c>
      <c r="AH128" s="8" t="n">
        <v>240</v>
      </c>
      <c r="AI128" s="8" t="n">
        <v>526</v>
      </c>
      <c r="AJ128" s="8" t="n">
        <v>320</v>
      </c>
      <c r="AK128" s="16">
        <f>T128+U128+V128+W128</f>
        <v/>
      </c>
      <c r="AL128" s="16">
        <f>X128+Y128+Z128+AA128</f>
        <v/>
      </c>
      <c r="AM128" s="16" t="n">
        <v>0</v>
      </c>
      <c r="AN128" s="16" t="n">
        <v>0</v>
      </c>
      <c r="AO128" s="16" t="n">
        <v>0</v>
      </c>
    </row>
    <row r="129">
      <c r="C129" s="9" t="inlineStr">
        <is>
          <t>Maturities of Investments</t>
        </is>
      </c>
      <c r="G129" s="8" t="n">
        <v>57</v>
      </c>
      <c r="H129" s="8" t="n">
        <v>90</v>
      </c>
      <c r="I129" s="8" t="n">
        <v>135</v>
      </c>
      <c r="J129" s="8" t="n">
        <v>110</v>
      </c>
      <c r="K129" s="8" t="n">
        <v>114</v>
      </c>
      <c r="L129" s="8" t="n">
        <v>301</v>
      </c>
      <c r="M129" s="8" t="n">
        <v>155</v>
      </c>
      <c r="N129" s="8" t="n">
        <v>33</v>
      </c>
      <c r="O129" s="8" t="n">
        <v>187</v>
      </c>
      <c r="P129" s="8" t="n">
        <v>235</v>
      </c>
      <c r="Q129" s="8" t="n">
        <v>402</v>
      </c>
      <c r="R129" s="8" t="n">
        <v>19</v>
      </c>
      <c r="S129" s="8" t="n">
        <v>208</v>
      </c>
      <c r="T129" s="8" t="n">
        <v>1473</v>
      </c>
      <c r="U129" s="8" t="n">
        <v>168</v>
      </c>
      <c r="V129" s="8" t="n">
        <v>14</v>
      </c>
      <c r="W129" s="16" t="n">
        <v>0</v>
      </c>
      <c r="X129" s="16" t="n">
        <v>0</v>
      </c>
      <c r="Y129" s="16" t="n">
        <v>0</v>
      </c>
      <c r="Z129" s="16" t="n">
        <v>0</v>
      </c>
      <c r="AA129" s="16" t="n">
        <v>0</v>
      </c>
      <c r="AB129" s="16" t="n">
        <v>0</v>
      </c>
      <c r="AC129" s="16" t="n">
        <v>0</v>
      </c>
      <c r="AD129" s="16" t="n">
        <v>0</v>
      </c>
      <c r="AF129" s="8" t="n">
        <v>550</v>
      </c>
      <c r="AG129" s="8" t="n">
        <v>234</v>
      </c>
      <c r="AH129" s="8" t="n">
        <v>449</v>
      </c>
      <c r="AI129" s="8" t="n">
        <v>676</v>
      </c>
      <c r="AJ129" s="8" t="n">
        <v>864</v>
      </c>
      <c r="AK129" s="16">
        <f>T129+U129+V129+W129</f>
        <v/>
      </c>
      <c r="AL129" s="16">
        <f>X129+Y129+Z129+AA129</f>
        <v/>
      </c>
      <c r="AM129" s="16" t="n">
        <v>0</v>
      </c>
      <c r="AN129" s="16" t="n">
        <v>0</v>
      </c>
      <c r="AO129" s="16" t="n">
        <v>0</v>
      </c>
    </row>
    <row r="130">
      <c r="C130" s="9" t="inlineStr">
        <is>
          <t>Capex — PPE</t>
        </is>
      </c>
      <c r="G130" s="8" t="n">
        <v>11</v>
      </c>
      <c r="H130" s="8" t="n">
        <v>-77</v>
      </c>
      <c r="I130" s="8" t="n">
        <v>-55</v>
      </c>
      <c r="J130" s="8" t="n">
        <v>-88</v>
      </c>
      <c r="K130" s="8" t="n">
        <v>10</v>
      </c>
      <c r="L130" s="8" t="n">
        <v>-84</v>
      </c>
      <c r="M130" s="8" t="n">
        <v>-63</v>
      </c>
      <c r="N130" s="8" t="n">
        <v>-61</v>
      </c>
      <c r="O130" s="8" t="n">
        <v>17</v>
      </c>
      <c r="P130" s="8" t="n">
        <v>-33</v>
      </c>
      <c r="Q130" s="8" t="n">
        <v>-31</v>
      </c>
      <c r="R130" s="8" t="n">
        <v>-35</v>
      </c>
      <c r="S130" s="8" t="n">
        <v>15</v>
      </c>
      <c r="T130" s="8" t="n">
        <v>-38</v>
      </c>
      <c r="U130" s="8" t="n">
        <v>-46</v>
      </c>
      <c r="V130" s="8" t="n">
        <v>-64</v>
      </c>
      <c r="W130" s="16">
        <f>W12*-0.025*0.7</f>
        <v/>
      </c>
      <c r="X130" s="16">
        <f>X12*-0.025*0.7</f>
        <v/>
      </c>
      <c r="Y130" s="16">
        <f>Y12*-0.024*0.7</f>
        <v/>
      </c>
      <c r="Z130" s="16">
        <f>Z12*-0.012*0.7</f>
        <v/>
      </c>
      <c r="AA130" s="16">
        <f>AA12*-0.025*0.7</f>
        <v/>
      </c>
      <c r="AB130" s="16">
        <f>AB12*-0.024*0.7</f>
        <v/>
      </c>
      <c r="AC130" s="16">
        <f>AC12*-0.023*0.7</f>
        <v/>
      </c>
      <c r="AD130" s="16">
        <f>AD12*-0.012*0.7</f>
        <v/>
      </c>
      <c r="AF130" s="8" t="n">
        <v>-53</v>
      </c>
      <c r="AG130" s="8" t="n">
        <v>-157</v>
      </c>
      <c r="AH130" s="8" t="n">
        <v>-210</v>
      </c>
      <c r="AI130" s="8" t="n">
        <v>-191</v>
      </c>
      <c r="AJ130" s="8" t="n">
        <v>-84</v>
      </c>
      <c r="AK130" s="16">
        <f>T130+U130+V130+W130</f>
        <v/>
      </c>
      <c r="AL130" s="16">
        <f>X130+Y130+Z130+AA130</f>
        <v/>
      </c>
      <c r="AM130" s="16">
        <f>AM12*-0.019*0.7</f>
        <v/>
      </c>
      <c r="AN130" s="16">
        <f>AN12*-0.018*0.7</f>
        <v/>
      </c>
      <c r="AO130" s="16">
        <f>AO12*-0.017*0.7</f>
        <v/>
      </c>
    </row>
    <row r="131">
      <c r="C131" s="9" t="inlineStr">
        <is>
          <t>Capitalized Software</t>
        </is>
      </c>
      <c r="G131" s="8" t="n">
        <v>0</v>
      </c>
      <c r="H131" s="8" t="n">
        <v>0</v>
      </c>
      <c r="I131" s="8" t="n">
        <v>0</v>
      </c>
      <c r="J131" s="8" t="n">
        <v>0</v>
      </c>
      <c r="K131" s="8" t="n">
        <v>0</v>
      </c>
      <c r="L131" s="8" t="n">
        <v>0</v>
      </c>
      <c r="M131" s="8" t="n">
        <v>0</v>
      </c>
      <c r="N131" s="8" t="n">
        <v>0</v>
      </c>
      <c r="O131" s="8" t="n">
        <v>0</v>
      </c>
      <c r="P131" s="8" t="n">
        <v>0</v>
      </c>
      <c r="Q131" s="8" t="n">
        <v>0</v>
      </c>
      <c r="R131" s="8" t="n">
        <v>0</v>
      </c>
      <c r="S131" s="8" t="n">
        <v>0</v>
      </c>
      <c r="T131" s="8" t="n">
        <v>0</v>
      </c>
      <c r="U131" s="8" t="n">
        <v>0</v>
      </c>
      <c r="V131" s="8" t="n">
        <v>0</v>
      </c>
      <c r="W131" s="16">
        <f>W12*-0.025*0.3</f>
        <v/>
      </c>
      <c r="X131" s="16">
        <f>X12*-0.025*0.3</f>
        <v/>
      </c>
      <c r="Y131" s="16">
        <f>Y12*-0.024*0.3</f>
        <v/>
      </c>
      <c r="Z131" s="16">
        <f>Z12*-0.012*0.3</f>
        <v/>
      </c>
      <c r="AA131" s="16">
        <f>AA12*-0.025*0.3</f>
        <v/>
      </c>
      <c r="AB131" s="16">
        <f>AB12*-0.024*0.3</f>
        <v/>
      </c>
      <c r="AC131" s="16">
        <f>AC12*-0.023*0.3</f>
        <v/>
      </c>
      <c r="AD131" s="16">
        <f>AD12*-0.012*0.3</f>
        <v/>
      </c>
      <c r="AF131" s="8" t="n">
        <v>-72</v>
      </c>
      <c r="AG131" s="8" t="n">
        <v>-72</v>
      </c>
      <c r="AH131" s="8" t="n">
        <v>-50</v>
      </c>
      <c r="AI131" s="8" t="n">
        <v>-59</v>
      </c>
      <c r="AJ131" s="8" t="n">
        <v>-40</v>
      </c>
      <c r="AK131" s="16">
        <f>T131+U131+V131+W131</f>
        <v/>
      </c>
      <c r="AL131" s="16">
        <f>X131+Y131+Z131+AA131</f>
        <v/>
      </c>
      <c r="AM131" s="16">
        <f>AM12*-0.019*0.3</f>
        <v/>
      </c>
      <c r="AN131" s="16">
        <f>AN12*-0.018*0.3</f>
        <v/>
      </c>
      <c r="AO131" s="16">
        <f>AO12*-0.017*0.3</f>
        <v/>
      </c>
    </row>
    <row r="132">
      <c r="C132" s="9" t="inlineStr">
        <is>
          <t>Acquisitions, Net of Cash Acquired</t>
        </is>
      </c>
      <c r="G132" s="8" t="n">
        <v>0</v>
      </c>
      <c r="H132" s="8" t="n">
        <v>0</v>
      </c>
      <c r="I132" s="8" t="n">
        <v>0</v>
      </c>
      <c r="J132" s="8" t="n">
        <v>0</v>
      </c>
      <c r="K132" s="8" t="n">
        <v>0</v>
      </c>
      <c r="L132" s="8" t="n">
        <v>0</v>
      </c>
      <c r="M132" s="8" t="n">
        <v>0</v>
      </c>
      <c r="N132" s="8" t="n">
        <v>0</v>
      </c>
      <c r="O132" s="8" t="n">
        <v>-83</v>
      </c>
      <c r="P132" s="8" t="n">
        <v>0</v>
      </c>
      <c r="Q132" s="8" t="n">
        <v>0</v>
      </c>
      <c r="R132" s="8" t="n">
        <v>0</v>
      </c>
      <c r="S132" s="8" t="n">
        <v>0</v>
      </c>
      <c r="T132" s="8" t="n">
        <v>0</v>
      </c>
      <c r="U132" s="8" t="n">
        <v>0</v>
      </c>
      <c r="V132" s="8" t="n">
        <v>0</v>
      </c>
      <c r="W132" s="16" t="n">
        <v>0</v>
      </c>
      <c r="X132" s="16" t="n">
        <v>0</v>
      </c>
      <c r="Y132" s="16" t="n">
        <v>0</v>
      </c>
      <c r="Z132" s="16" t="n">
        <v>0</v>
      </c>
      <c r="AA132" s="16" t="n">
        <v>0</v>
      </c>
      <c r="AB132" s="16" t="n">
        <v>0</v>
      </c>
      <c r="AC132" s="16" t="n">
        <v>0</v>
      </c>
      <c r="AD132" s="16" t="n">
        <v>0</v>
      </c>
      <c r="AF132" s="8" t="n">
        <v>-3064</v>
      </c>
      <c r="AG132" s="8" t="n">
        <v>-5682</v>
      </c>
      <c r="AH132" s="8" t="n">
        <v>-33</v>
      </c>
      <c r="AI132" s="8" t="n">
        <v>-83</v>
      </c>
      <c r="AJ132" s="8" t="n">
        <v>-184</v>
      </c>
      <c r="AK132" s="16">
        <f>T132+U132+V132+W132</f>
        <v/>
      </c>
      <c r="AL132" s="16">
        <f>X132+Y132+Z132+AA132</f>
        <v/>
      </c>
      <c r="AM132" s="16" t="n">
        <v>0</v>
      </c>
      <c r="AN132" s="16" t="n">
        <v>0</v>
      </c>
      <c r="AO132" s="16" t="n">
        <v>0</v>
      </c>
    </row>
    <row r="133">
      <c r="C133" s="9" t="inlineStr">
        <is>
          <t>Originations of Notes Receivable HFI</t>
        </is>
      </c>
      <c r="G133" s="8" t="n">
        <v>-320</v>
      </c>
      <c r="H133" s="8" t="n">
        <v>-314</v>
      </c>
      <c r="I133" s="8" t="n">
        <v>-701</v>
      </c>
      <c r="J133" s="8" t="n">
        <v>-585</v>
      </c>
      <c r="K133" s="8" t="n">
        <v>-383</v>
      </c>
      <c r="L133" s="8" t="n">
        <v>-377</v>
      </c>
      <c r="M133" s="8" t="n">
        <v>281</v>
      </c>
      <c r="N133" s="8" t="n">
        <v>0</v>
      </c>
      <c r="O133" s="8" t="n">
        <v>0</v>
      </c>
      <c r="P133" s="8" t="n">
        <v>0</v>
      </c>
      <c r="Q133" s="8" t="n">
        <v>0</v>
      </c>
      <c r="R133" s="8" t="n">
        <v>0</v>
      </c>
      <c r="S133" s="8" t="n">
        <v>-3992</v>
      </c>
      <c r="T133" s="8" t="n">
        <v>-1297</v>
      </c>
      <c r="U133" s="8" t="n">
        <v>-1588</v>
      </c>
      <c r="V133" s="8" t="n">
        <v>-2045</v>
      </c>
      <c r="W133" s="16" t="n">
        <v>0</v>
      </c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0</v>
      </c>
      <c r="AC133" s="16" t="n">
        <v>0</v>
      </c>
      <c r="AD133" s="16" t="n">
        <v>0</v>
      </c>
      <c r="AF133" s="8" t="n">
        <v>-232</v>
      </c>
      <c r="AG133" s="8" t="n">
        <v>-933</v>
      </c>
      <c r="AH133" s="8" t="n">
        <v>-1983</v>
      </c>
      <c r="AI133" s="8" t="n">
        <v>-2538</v>
      </c>
      <c r="AJ133" s="8" t="n">
        <v>-3992</v>
      </c>
      <c r="AK133" s="16">
        <f>T133+U133+V133+W133</f>
        <v/>
      </c>
      <c r="AL133" s="16">
        <f>X133+Y133+Z133+AA133</f>
        <v/>
      </c>
      <c r="AM133" s="16" t="n">
        <v>0</v>
      </c>
      <c r="AN133" s="16" t="n">
        <v>0</v>
      </c>
      <c r="AO133" s="16" t="n">
        <v>0</v>
      </c>
    </row>
    <row r="134">
      <c r="C134" s="9" t="inlineStr">
        <is>
          <t>Sales of Notes Receivable Originally HFI</t>
        </is>
      </c>
      <c r="G134" s="8" t="n">
        <v>0</v>
      </c>
      <c r="H134" s="8" t="n">
        <v>0</v>
      </c>
      <c r="I134" s="8" t="n">
        <v>0</v>
      </c>
      <c r="J134" s="8" t="n">
        <v>0</v>
      </c>
      <c r="K134" s="8" t="n">
        <v>0</v>
      </c>
      <c r="L134" s="8" t="n">
        <v>0</v>
      </c>
      <c r="M134" s="8" t="n">
        <v>0</v>
      </c>
      <c r="N134" s="8" t="n">
        <v>0</v>
      </c>
      <c r="O134" s="8" t="n">
        <v>133</v>
      </c>
      <c r="P134" s="8" t="n">
        <v>110</v>
      </c>
      <c r="Q134" s="8" t="n">
        <v>136</v>
      </c>
      <c r="R134" s="8" t="n">
        <v>54</v>
      </c>
      <c r="S134" s="8" t="n">
        <v>262</v>
      </c>
      <c r="T134" s="8" t="n">
        <v>213</v>
      </c>
      <c r="U134" s="8" t="n">
        <v>382</v>
      </c>
      <c r="V134" s="8" t="n">
        <v>794</v>
      </c>
      <c r="W134" s="16" t="n">
        <v>0</v>
      </c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0</v>
      </c>
      <c r="AC134" s="16" t="n">
        <v>0</v>
      </c>
      <c r="AD134" s="16" t="n">
        <v>0</v>
      </c>
      <c r="AF134" s="8" t="n">
        <v>0</v>
      </c>
      <c r="AG134" s="8" t="n">
        <v>0</v>
      </c>
      <c r="AH134" s="8" t="n">
        <v>0</v>
      </c>
      <c r="AI134" s="8" t="n">
        <v>234</v>
      </c>
      <c r="AJ134" s="8" t="n">
        <v>562</v>
      </c>
      <c r="AK134" s="16">
        <f>T134+U134+V134+W134</f>
        <v/>
      </c>
      <c r="AL134" s="16">
        <f>X134+Y134+Z134+AA134</f>
        <v/>
      </c>
      <c r="AM134" s="16" t="n">
        <v>0</v>
      </c>
      <c r="AN134" s="16" t="n">
        <v>0</v>
      </c>
      <c r="AO134" s="16" t="n">
        <v>0</v>
      </c>
    </row>
    <row r="135">
      <c r="C135" s="9" t="inlineStr">
        <is>
          <t>Principal Repayments of Notes HFI</t>
        </is>
      </c>
      <c r="G135" s="8" t="n">
        <v>199</v>
      </c>
      <c r="H135" s="8" t="n">
        <v>244</v>
      </c>
      <c r="I135" s="8" t="n">
        <v>286</v>
      </c>
      <c r="J135" s="8" t="n">
        <v>835</v>
      </c>
      <c r="K135" s="8" t="n">
        <v>362</v>
      </c>
      <c r="L135" s="8" t="n">
        <v>358</v>
      </c>
      <c r="M135" s="8" t="n">
        <v>351</v>
      </c>
      <c r="N135" s="8" t="n">
        <v>979</v>
      </c>
      <c r="O135" s="8" t="n">
        <v>380</v>
      </c>
      <c r="P135" s="8" t="n">
        <v>420</v>
      </c>
      <c r="Q135" s="8" t="n">
        <v>504</v>
      </c>
      <c r="R135" s="8" t="n">
        <v>1028</v>
      </c>
      <c r="S135" s="8" t="n">
        <v>754</v>
      </c>
      <c r="T135" s="8" t="n">
        <v>876</v>
      </c>
      <c r="U135" s="8" t="n">
        <v>936</v>
      </c>
      <c r="V135" s="8" t="n">
        <v>1313</v>
      </c>
      <c r="W135" s="16" t="n">
        <v>0</v>
      </c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0</v>
      </c>
      <c r="AC135" s="16" t="n">
        <v>0</v>
      </c>
      <c r="AD135" s="16" t="n">
        <v>0</v>
      </c>
      <c r="AF135" s="8" t="n">
        <v>136</v>
      </c>
      <c r="AG135" s="8" t="n">
        <v>519</v>
      </c>
      <c r="AH135" s="8" t="n">
        <v>1727</v>
      </c>
      <c r="AI135" s="8" t="n">
        <v>2068</v>
      </c>
      <c r="AJ135" s="8" t="n">
        <v>2706</v>
      </c>
      <c r="AK135" s="16">
        <f>T135+U135+V135+W135</f>
        <v/>
      </c>
      <c r="AL135" s="16">
        <f>X135+Y135+Z135+AA135</f>
        <v/>
      </c>
      <c r="AM135" s="16" t="n">
        <v>0</v>
      </c>
      <c r="AN135" s="16" t="n">
        <v>0</v>
      </c>
      <c r="AO135" s="16" t="n">
        <v>0</v>
      </c>
    </row>
    <row r="136">
      <c r="C136" s="9" t="inlineStr">
        <is>
          <t>Other CFI</t>
        </is>
      </c>
      <c r="G136" s="8" t="n">
        <v>-87</v>
      </c>
      <c r="H136" s="8" t="n">
        <v>13</v>
      </c>
      <c r="I136" s="8" t="n">
        <v>-62</v>
      </c>
      <c r="J136" s="8" t="n">
        <v>-10</v>
      </c>
      <c r="K136" s="8" t="n">
        <v>-71</v>
      </c>
      <c r="L136" s="8" t="n">
        <v>10</v>
      </c>
      <c r="M136" s="8" t="n">
        <v>-1086</v>
      </c>
      <c r="N136" s="8" t="n">
        <v>-699</v>
      </c>
      <c r="O136" s="8" t="n">
        <v>-705</v>
      </c>
      <c r="P136" s="8" t="n">
        <v>-669</v>
      </c>
      <c r="Q136" s="8" t="n">
        <v>-1563</v>
      </c>
      <c r="R136" s="8" t="n">
        <v>-758</v>
      </c>
      <c r="S136" s="8" t="n">
        <v>2659</v>
      </c>
      <c r="T136" s="8" t="n">
        <v>-43</v>
      </c>
      <c r="U136" s="8" t="n">
        <v>-542</v>
      </c>
      <c r="V136" s="8" t="n">
        <v>465</v>
      </c>
      <c r="W136" s="16" t="n">
        <v>0</v>
      </c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0</v>
      </c>
      <c r="AC136" s="16" t="n">
        <v>0</v>
      </c>
      <c r="AD136" s="16" t="n">
        <v>0</v>
      </c>
      <c r="AF136" s="8" t="n">
        <v>30</v>
      </c>
      <c r="AG136" s="8" t="n">
        <v>-24</v>
      </c>
      <c r="AH136" s="8" t="n">
        <v>-47</v>
      </c>
      <c r="AI136" s="8" t="n">
        <v>-80</v>
      </c>
      <c r="AJ136" s="8" t="n">
        <v>-107</v>
      </c>
      <c r="AK136" s="16">
        <f>T136+U136+V136+W136</f>
        <v/>
      </c>
      <c r="AL136" s="16">
        <f>X136+Y136+Z136+AA136</f>
        <v/>
      </c>
      <c r="AM136" s="16" t="n">
        <v>0</v>
      </c>
      <c r="AN136" s="16" t="n">
        <v>0</v>
      </c>
      <c r="AO136" s="16" t="n">
        <v>0</v>
      </c>
    </row>
    <row r="137">
      <c r="B137" s="6" t="inlineStr">
        <is>
          <t>Cash Flow from Investing Activities</t>
        </is>
      </c>
      <c r="G137" s="10">
        <f>G127+G128+G129+G130+G131+G132+G133+G134+G135+G136</f>
        <v/>
      </c>
      <c r="H137" s="10">
        <f>H127+H128+H129+H130+H131+H132+H133+H134+H135+H136</f>
        <v/>
      </c>
      <c r="I137" s="10">
        <f>I127+I128+I129+I130+I131+I132+I133+I134+I135+I136</f>
        <v/>
      </c>
      <c r="J137" s="10">
        <f>J127+J128+J129+J130+J131+J132+J133+J134+J135+J136</f>
        <v/>
      </c>
      <c r="K137" s="10">
        <f>K127+K128+K129+K130+K131+K132+K133+K134+K135+K136</f>
        <v/>
      </c>
      <c r="L137" s="10">
        <f>L127+L128+L129+L130+L131+L132+L133+L134+L135+L136</f>
        <v/>
      </c>
      <c r="M137" s="10">
        <f>M127+M128+M129+M130+M131+M132+M133+M134+M135+M136</f>
        <v/>
      </c>
      <c r="N137" s="10">
        <f>N127+N128+N129+N130+N131+N132+N133+N134+N135+N136</f>
        <v/>
      </c>
      <c r="O137" s="10">
        <f>O127+O128+O129+O130+O131+O132+O133+O134+O135+O136</f>
        <v/>
      </c>
      <c r="P137" s="10">
        <f>P127+P128+P129+P130+P131+P132+P133+P134+P135+P136</f>
        <v/>
      </c>
      <c r="Q137" s="10">
        <f>Q127+Q128+Q129+Q130+Q131+Q132+Q133+Q134+Q135+Q136</f>
        <v/>
      </c>
      <c r="R137" s="10">
        <f>R127+R128+R129+R130+R131+R132+R133+R134+R135+R136</f>
        <v/>
      </c>
      <c r="S137" s="10">
        <f>S127+S128+S129+S130+S131+S132+S133+S134+S135+S136</f>
        <v/>
      </c>
      <c r="T137" s="10">
        <f>T127+T128+T129+T130+T131+T132+T133+T134+T135+T136</f>
        <v/>
      </c>
      <c r="U137" s="10">
        <f>U127+U128+U129+U130+U131+U132+U133+U134+U135+U136</f>
        <v/>
      </c>
      <c r="V137" s="10">
        <f>V127+V128+V129+V130+V131+V132+V133+V134+V135+V136</f>
        <v/>
      </c>
      <c r="W137" s="10">
        <f>W127+W128+W129+W130+W131+W132+W133+W134+W135+W136</f>
        <v/>
      </c>
      <c r="X137" s="10">
        <f>X127+X128+X129+X130+X131+X132+X133+X134+X135+X136</f>
        <v/>
      </c>
      <c r="Y137" s="10">
        <f>Y127+Y128+Y129+Y130+Y131+Y132+Y133+Y134+Y135+Y136</f>
        <v/>
      </c>
      <c r="Z137" s="10">
        <f>Z127+Z128+Z129+Z130+Z131+Z132+Z133+Z134+Z135+Z136</f>
        <v/>
      </c>
      <c r="AA137" s="10">
        <f>AA127+AA128+AA129+AA130+AA131+AA132+AA133+AA134+AA135+AA136</f>
        <v/>
      </c>
      <c r="AB137" s="10">
        <f>AB127+AB128+AB129+AB130+AB131+AB132+AB133+AB134+AB135+AB136</f>
        <v/>
      </c>
      <c r="AC137" s="10">
        <f>AC127+AC128+AC129+AC130+AC131+AC132+AC133+AC134+AC135+AC136</f>
        <v/>
      </c>
      <c r="AD137" s="10">
        <f>AD127+AD128+AD129+AD130+AD131+AD132+AD133+AD134+AD135+AD136</f>
        <v/>
      </c>
      <c r="AF137" s="10">
        <f>AF127+AF128+AF129+AF130+AF131+AF132+AF133+AF134+AF135+AF136</f>
        <v/>
      </c>
      <c r="AG137" s="10">
        <f>AG127+AG128+AG129+AG130+AG131+AG132+AG133+AG134+AG135+AG136</f>
        <v/>
      </c>
      <c r="AH137" s="10">
        <f>AH127+AH128+AH129+AH130+AH131+AH132+AH133+AH134+AH135+AH136</f>
        <v/>
      </c>
      <c r="AI137" s="10">
        <f>AI127+AI128+AI129+AI130+AI131+AI132+AI133+AI134+AI135+AI136</f>
        <v/>
      </c>
      <c r="AJ137" s="10">
        <f>AJ127+AJ128+AJ129+AJ130+AJ131+AJ132+AJ133+AJ134+AJ135+AJ136</f>
        <v/>
      </c>
      <c r="AK137" s="10">
        <f>T137+U137+V137+W137</f>
        <v/>
      </c>
      <c r="AL137" s="10">
        <f>X137+Y137+Z137+AA137</f>
        <v/>
      </c>
      <c r="AM137" s="10">
        <f>AM127+AM128+AM129+AM130+AM131+AM132+AM133+AM134+AM135+AM136</f>
        <v/>
      </c>
      <c r="AN137" s="10">
        <f>AN127+AN128+AN129+AN130+AN131+AN132+AN133+AN134+AN135+AN136</f>
        <v/>
      </c>
      <c r="AO137" s="10">
        <f>AO127+AO128+AO129+AO130+AO131+AO132+AO133+AO134+AO135+AO136</f>
        <v/>
      </c>
    </row>
    <row r="138">
      <c r="D138" s="3" t="inlineStr">
        <is>
          <t>Recon: CFI</t>
        </is>
      </c>
      <c r="G138" s="21">
        <f>IF(_reported!G22="","",G137-_reported!G22)</f>
        <v/>
      </c>
      <c r="H138" s="21">
        <f>IF(_reported!H22="","",H137-_reported!H22)</f>
        <v/>
      </c>
      <c r="I138" s="21">
        <f>IF(_reported!I22="","",I137-_reported!I22)</f>
        <v/>
      </c>
      <c r="J138" s="21">
        <f>IF(_reported!J22="","",J137-_reported!J22)</f>
        <v/>
      </c>
      <c r="K138" s="21">
        <f>IF(_reported!K22="","",K137-_reported!K22)</f>
        <v/>
      </c>
      <c r="L138" s="21">
        <f>IF(_reported!L22="","",L137-_reported!L22)</f>
        <v/>
      </c>
      <c r="M138" s="21">
        <f>IF(_reported!M22="","",M137-_reported!M22)</f>
        <v/>
      </c>
      <c r="N138" s="21">
        <f>IF(_reported!N22="","",N137-_reported!N22)</f>
        <v/>
      </c>
      <c r="O138" s="21">
        <f>IF(_reported!O22="","",O137-_reported!O22)</f>
        <v/>
      </c>
      <c r="P138" s="21">
        <f>IF(_reported!P22="","",P137-_reported!P22)</f>
        <v/>
      </c>
      <c r="Q138" s="21">
        <f>IF(_reported!Q22="","",Q137-_reported!Q22)</f>
        <v/>
      </c>
      <c r="R138" s="21">
        <f>IF(_reported!R22="","",R137-_reported!R22)</f>
        <v/>
      </c>
      <c r="S138" s="21">
        <f>IF(_reported!S22="","",S137-_reported!S22)</f>
        <v/>
      </c>
      <c r="T138" s="21">
        <f>IF(_reported!T22="","",T137-_reported!T22)</f>
        <v/>
      </c>
      <c r="U138" s="21">
        <f>IF(_reported!U22="","",U137-_reported!U22)</f>
        <v/>
      </c>
      <c r="V138" s="21">
        <f>IF(_reported!V22="","",V137-_reported!V22)</f>
        <v/>
      </c>
      <c r="AF138" s="21">
        <f>IF(_reported!AF22="","",AF137-_reported!AF22)</f>
        <v/>
      </c>
      <c r="AG138" s="21">
        <f>IF(_reported!AG22="","",AG137-_reported!AG22)</f>
        <v/>
      </c>
      <c r="AH138" s="21">
        <f>IF(_reported!AH22="","",AH137-_reported!AH22)</f>
        <v/>
      </c>
      <c r="AI138" s="21">
        <f>IF(_reported!AI22="","",AI137-_reported!AI22)</f>
        <v/>
      </c>
      <c r="AJ138" s="21">
        <f>IF(_reported!AJ22="","",AJ137-_reported!AJ22)</f>
        <v/>
      </c>
    </row>
    <row r="139"/>
    <row r="140">
      <c r="C140" s="9" t="inlineStr">
        <is>
          <t>Debt Proceeds (LT)</t>
        </is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0</v>
      </c>
      <c r="L140" s="8" t="n">
        <v>3956</v>
      </c>
      <c r="M140" s="8" t="n">
        <v>0</v>
      </c>
      <c r="N140" s="8" t="n">
        <v>0</v>
      </c>
      <c r="O140" s="8" t="n">
        <v>0</v>
      </c>
      <c r="P140" s="8" t="n">
        <v>0</v>
      </c>
      <c r="Q140" s="8" t="n">
        <v>0</v>
      </c>
      <c r="R140" s="8" t="n">
        <v>0</v>
      </c>
      <c r="S140" s="8" t="n">
        <v>0</v>
      </c>
      <c r="T140" s="8" t="n">
        <v>0</v>
      </c>
      <c r="U140" s="8" t="n">
        <v>0</v>
      </c>
      <c r="V140" s="8" t="n">
        <v>0</v>
      </c>
      <c r="W140" s="16" t="n">
        <v>0</v>
      </c>
      <c r="X140" s="16" t="n">
        <v>0</v>
      </c>
      <c r="Y140" s="16" t="n">
        <v>0</v>
      </c>
      <c r="Z140" s="16" t="n">
        <v>0</v>
      </c>
      <c r="AA140" s="16" t="n">
        <v>0</v>
      </c>
      <c r="AB140" s="16" t="n">
        <v>0</v>
      </c>
      <c r="AC140" s="16" t="n">
        <v>0</v>
      </c>
      <c r="AD140" s="16" t="n">
        <v>0</v>
      </c>
      <c r="AF140" s="8" t="n">
        <v>0</v>
      </c>
      <c r="AG140" s="8" t="n">
        <v>4700</v>
      </c>
      <c r="AH140" s="8" t="n">
        <v>0</v>
      </c>
      <c r="AI140" s="8" t="n">
        <v>3956</v>
      </c>
      <c r="AJ140" s="8" t="n">
        <v>0</v>
      </c>
      <c r="AK140" s="16">
        <f>T140+U140+V140+W140</f>
        <v/>
      </c>
      <c r="AL140" s="16">
        <f>X140+Y140+Z140+AA140</f>
        <v/>
      </c>
      <c r="AM140" s="16" t="n">
        <v>0</v>
      </c>
      <c r="AN140" s="16" t="n">
        <v>0</v>
      </c>
      <c r="AO140" s="16" t="n">
        <v>0</v>
      </c>
    </row>
    <row r="141">
      <c r="C141" s="9" t="inlineStr">
        <is>
          <t>Debt Repayments</t>
        </is>
      </c>
      <c r="G141" s="8" t="n">
        <v>0</v>
      </c>
      <c r="H141" s="8" t="n">
        <v>0</v>
      </c>
      <c r="I141" s="8" t="n">
        <v>0</v>
      </c>
      <c r="J141" s="8" t="n">
        <v>-500</v>
      </c>
      <c r="K141" s="8" t="n">
        <v>-500</v>
      </c>
      <c r="L141" s="8" t="n">
        <v>-4200</v>
      </c>
      <c r="M141" s="8" t="n">
        <v>0</v>
      </c>
      <c r="N141" s="8" t="n">
        <v>0</v>
      </c>
      <c r="O141" s="8" t="n">
        <v>0</v>
      </c>
      <c r="P141" s="8" t="n">
        <v>0</v>
      </c>
      <c r="Q141" s="8" t="n">
        <v>0</v>
      </c>
      <c r="R141" s="8" t="n">
        <v>0</v>
      </c>
      <c r="S141" s="8" t="n">
        <v>-500</v>
      </c>
      <c r="T141" s="8" t="n">
        <v>0</v>
      </c>
      <c r="U141" s="8" t="n">
        <v>0</v>
      </c>
      <c r="V141" s="8" t="n">
        <v>0</v>
      </c>
      <c r="W141" s="16" t="n">
        <v>0</v>
      </c>
      <c r="X141" s="16" t="n">
        <v>0</v>
      </c>
      <c r="Y141" s="16" t="n">
        <v>0</v>
      </c>
      <c r="Z141" s="16" t="n">
        <v>0</v>
      </c>
      <c r="AA141" s="16" t="n">
        <v>0</v>
      </c>
      <c r="AB141" s="16" t="n">
        <v>0</v>
      </c>
      <c r="AC141" s="16" t="n">
        <v>0</v>
      </c>
      <c r="AD141" s="16" t="n">
        <v>0</v>
      </c>
      <c r="AF141" s="8" t="n">
        <v>-338</v>
      </c>
      <c r="AG141" s="8" t="n">
        <v>0</v>
      </c>
      <c r="AH141" s="8" t="n">
        <v>-1009</v>
      </c>
      <c r="AI141" s="8" t="n">
        <v>-4200</v>
      </c>
      <c r="AJ141" s="8" t="n">
        <v>-500</v>
      </c>
      <c r="AK141" s="16">
        <f>T141+U141+V141+W141</f>
        <v/>
      </c>
      <c r="AL141" s="16">
        <f>X141+Y141+Z141+AA141</f>
        <v/>
      </c>
      <c r="AM141" s="16" t="n">
        <v>0</v>
      </c>
      <c r="AN141" s="16" t="n">
        <v>0</v>
      </c>
      <c r="AO141" s="16" t="n">
        <v>0</v>
      </c>
    </row>
    <row r="142">
      <c r="C142" s="9" t="inlineStr">
        <is>
          <t>Revolver Proceeds (Unsecured)</t>
        </is>
      </c>
      <c r="G142" s="8" t="n">
        <v>0</v>
      </c>
      <c r="H142" s="8" t="n">
        <v>0</v>
      </c>
      <c r="I142" s="8" t="n">
        <v>0</v>
      </c>
      <c r="J142" s="8" t="n">
        <v>0</v>
      </c>
      <c r="K142" s="8" t="n">
        <v>0</v>
      </c>
      <c r="L142" s="8" t="n">
        <v>0</v>
      </c>
      <c r="M142" s="8" t="n">
        <v>0</v>
      </c>
      <c r="N142" s="8" t="n">
        <v>0</v>
      </c>
      <c r="O142" s="8" t="n">
        <v>0</v>
      </c>
      <c r="P142" s="8" t="n">
        <v>0</v>
      </c>
      <c r="Q142" s="8" t="n">
        <v>0</v>
      </c>
      <c r="R142" s="8" t="n">
        <v>0</v>
      </c>
      <c r="S142" s="8" t="n">
        <v>0</v>
      </c>
      <c r="T142" s="8" t="n">
        <v>0</v>
      </c>
      <c r="U142" s="8" t="n">
        <v>0</v>
      </c>
      <c r="V142" s="8" t="n">
        <v>0</v>
      </c>
      <c r="W142" s="16" t="n">
        <v>0</v>
      </c>
      <c r="X142" s="16" t="n">
        <v>0</v>
      </c>
      <c r="Y142" s="16" t="n">
        <v>0</v>
      </c>
      <c r="Z142" s="16" t="n">
        <v>0</v>
      </c>
      <c r="AA142" s="16" t="n">
        <v>0</v>
      </c>
      <c r="AB142" s="16" t="n">
        <v>0</v>
      </c>
      <c r="AC142" s="16" t="n">
        <v>0</v>
      </c>
      <c r="AD142" s="16" t="n">
        <v>0</v>
      </c>
      <c r="AF142" s="8" t="n">
        <v>0</v>
      </c>
      <c r="AG142" s="8" t="n">
        <v>0</v>
      </c>
      <c r="AH142" s="8" t="n">
        <v>0</v>
      </c>
      <c r="AI142" s="8" t="n">
        <v>100</v>
      </c>
      <c r="AJ142" s="8" t="n">
        <v>0</v>
      </c>
      <c r="AK142" s="16">
        <f>T142+U142+V142+W142</f>
        <v/>
      </c>
      <c r="AL142" s="16">
        <f>X142+Y142+Z142+AA142</f>
        <v/>
      </c>
      <c r="AM142" s="16" t="n">
        <v>0</v>
      </c>
      <c r="AN142" s="16" t="n">
        <v>0</v>
      </c>
      <c r="AO142" s="16" t="n">
        <v>0</v>
      </c>
    </row>
    <row r="143">
      <c r="C143" s="9" t="inlineStr">
        <is>
          <t>Revolver Repayments (Unsecured)</t>
        </is>
      </c>
      <c r="G143" s="8" t="n">
        <v>0</v>
      </c>
      <c r="H143" s="8" t="n">
        <v>0</v>
      </c>
      <c r="I143" s="8" t="n">
        <v>0</v>
      </c>
      <c r="J143" s="8" t="n">
        <v>0</v>
      </c>
      <c r="K143" s="8" t="n">
        <v>0</v>
      </c>
      <c r="L143" s="8" t="n">
        <v>0</v>
      </c>
      <c r="M143" s="8" t="n">
        <v>0</v>
      </c>
      <c r="N143" s="8" t="n">
        <v>0</v>
      </c>
      <c r="O143" s="8" t="n">
        <v>0</v>
      </c>
      <c r="P143" s="8" t="n">
        <v>0</v>
      </c>
      <c r="Q143" s="8" t="n">
        <v>0</v>
      </c>
      <c r="R143" s="8" t="n">
        <v>0</v>
      </c>
      <c r="S143" s="8" t="n">
        <v>0</v>
      </c>
      <c r="T143" s="8" t="n">
        <v>0</v>
      </c>
      <c r="U143" s="8" t="n">
        <v>0</v>
      </c>
      <c r="V143" s="8" t="n">
        <v>0</v>
      </c>
      <c r="W143" s="16" t="n">
        <v>0</v>
      </c>
      <c r="X143" s="16" t="n">
        <v>0</v>
      </c>
      <c r="Y143" s="16" t="n">
        <v>0</v>
      </c>
      <c r="Z143" s="16" t="n">
        <v>0</v>
      </c>
      <c r="AA143" s="16" t="n">
        <v>0</v>
      </c>
      <c r="AB143" s="16" t="n">
        <v>0</v>
      </c>
      <c r="AC143" s="16" t="n">
        <v>0</v>
      </c>
      <c r="AD143" s="16" t="n">
        <v>0</v>
      </c>
      <c r="AF143" s="8" t="n">
        <v>-1000</v>
      </c>
      <c r="AG143" s="8" t="n">
        <v>0</v>
      </c>
      <c r="AH143" s="8" t="n">
        <v>0</v>
      </c>
      <c r="AI143" s="8" t="n">
        <v>-100</v>
      </c>
      <c r="AJ143" s="8" t="n">
        <v>0</v>
      </c>
      <c r="AK143" s="16">
        <f>T143+U143+V143+W143</f>
        <v/>
      </c>
      <c r="AL143" s="16">
        <f>X143+Y143+Z143+AA143</f>
        <v/>
      </c>
      <c r="AM143" s="16" t="n">
        <v>0</v>
      </c>
      <c r="AN143" s="16" t="n">
        <v>0</v>
      </c>
      <c r="AO143" s="16" t="n">
        <v>0</v>
      </c>
    </row>
    <row r="144">
      <c r="C144" s="9" t="inlineStr">
        <is>
          <t>Revolver Proceeds (Secured)</t>
        </is>
      </c>
      <c r="G144" s="8" t="n">
        <v>60</v>
      </c>
      <c r="H144" s="8" t="n">
        <v>70</v>
      </c>
      <c r="I144" s="8" t="n">
        <v>105</v>
      </c>
      <c r="J144" s="8" t="n">
        <v>37</v>
      </c>
      <c r="K144" s="8" t="n">
        <v>10</v>
      </c>
      <c r="L144" s="8" t="n">
        <v>0</v>
      </c>
      <c r="M144" s="8" t="n">
        <v>95</v>
      </c>
      <c r="N144" s="8" t="n">
        <v>0</v>
      </c>
      <c r="O144" s="8" t="n">
        <v>85</v>
      </c>
      <c r="P144" s="8" t="n">
        <v>85</v>
      </c>
      <c r="Q144" s="8" t="n">
        <v>134</v>
      </c>
      <c r="R144" s="8" t="n">
        <v>145</v>
      </c>
      <c r="S144" s="8" t="n">
        <v>65</v>
      </c>
      <c r="T144" s="8" t="n">
        <v>166</v>
      </c>
      <c r="U144" s="8" t="n">
        <v>20</v>
      </c>
      <c r="V144" s="8" t="n">
        <v>0</v>
      </c>
      <c r="W144" s="16" t="n">
        <v>0</v>
      </c>
      <c r="X144" s="16" t="n">
        <v>0</v>
      </c>
      <c r="Y144" s="16" t="n">
        <v>0</v>
      </c>
      <c r="Z144" s="16" t="n">
        <v>0</v>
      </c>
      <c r="AA144" s="16" t="n">
        <v>0</v>
      </c>
      <c r="AB144" s="16" t="n">
        <v>0</v>
      </c>
      <c r="AC144" s="16" t="n">
        <v>0</v>
      </c>
      <c r="AD144" s="16" t="n">
        <v>0</v>
      </c>
      <c r="AF144" s="8" t="n">
        <v>0</v>
      </c>
      <c r="AG144" s="8" t="n">
        <v>182</v>
      </c>
      <c r="AH144" s="8" t="n">
        <v>222</v>
      </c>
      <c r="AI144" s="8" t="n">
        <v>180</v>
      </c>
      <c r="AJ144" s="8" t="n">
        <v>429</v>
      </c>
      <c r="AK144" s="16">
        <f>T144+U144+V144+W144</f>
        <v/>
      </c>
      <c r="AL144" s="16">
        <f>X144+Y144+Z144+AA144</f>
        <v/>
      </c>
      <c r="AM144" s="16" t="n">
        <v>0</v>
      </c>
      <c r="AN144" s="16" t="n">
        <v>0</v>
      </c>
      <c r="AO144" s="16" t="n">
        <v>0</v>
      </c>
    </row>
    <row r="145">
      <c r="C145" s="9" t="inlineStr">
        <is>
          <t>Revolver Repayments (Secured)</t>
        </is>
      </c>
      <c r="G145" s="8" t="n">
        <v>0</v>
      </c>
      <c r="H145" s="8" t="n">
        <v>0</v>
      </c>
      <c r="I145" s="8" t="n">
        <v>0</v>
      </c>
      <c r="J145" s="8" t="n">
        <v>-6</v>
      </c>
      <c r="K145" s="8" t="n">
        <v>-1</v>
      </c>
      <c r="L145" s="8" t="n">
        <v>0</v>
      </c>
      <c r="M145" s="8" t="n">
        <v>0</v>
      </c>
      <c r="N145" s="8" t="n">
        <v>0</v>
      </c>
      <c r="O145" s="8" t="n">
        <v>0</v>
      </c>
      <c r="P145" s="8" t="n">
        <v>0</v>
      </c>
      <c r="Q145" s="8" t="n">
        <v>0</v>
      </c>
      <c r="R145" s="8" t="n">
        <v>0</v>
      </c>
      <c r="S145" s="8" t="n">
        <v>0</v>
      </c>
      <c r="T145" s="8" t="n">
        <v>0</v>
      </c>
      <c r="U145" s="8" t="n">
        <v>0</v>
      </c>
      <c r="V145" s="8" t="n">
        <v>0</v>
      </c>
      <c r="W145" s="16" t="n">
        <v>0</v>
      </c>
      <c r="X145" s="16" t="n">
        <v>0</v>
      </c>
      <c r="Y145" s="16" t="n">
        <v>0</v>
      </c>
      <c r="Z145" s="16" t="n">
        <v>0</v>
      </c>
      <c r="AA145" s="16" t="n">
        <v>0</v>
      </c>
      <c r="AB145" s="16" t="n">
        <v>0</v>
      </c>
      <c r="AC145" s="16" t="n">
        <v>0</v>
      </c>
      <c r="AD145" s="16" t="n">
        <v>0</v>
      </c>
      <c r="AF145" s="8" t="n">
        <v>0</v>
      </c>
      <c r="AG145" s="8" t="n">
        <v>0</v>
      </c>
      <c r="AH145" s="8" t="n">
        <v>-23</v>
      </c>
      <c r="AI145" s="8" t="n">
        <v>-25</v>
      </c>
      <c r="AJ145" s="8" t="n">
        <v>0</v>
      </c>
      <c r="AK145" s="16">
        <f>T145+U145+V145+W145</f>
        <v/>
      </c>
      <c r="AL145" s="16">
        <f>X145+Y145+Z145+AA145</f>
        <v/>
      </c>
      <c r="AM145" s="16" t="n">
        <v>0</v>
      </c>
      <c r="AN145" s="16" t="n">
        <v>0</v>
      </c>
      <c r="AO145" s="16" t="n">
        <v>0</v>
      </c>
    </row>
    <row r="146">
      <c r="C146" s="9" t="inlineStr">
        <is>
          <t>Stock Issuance (ESPP / Stock Plans)</t>
        </is>
      </c>
      <c r="G146" s="8" t="n">
        <v>46</v>
      </c>
      <c r="H146" s="8" t="n">
        <v>60</v>
      </c>
      <c r="I146" s="8" t="n">
        <v>21</v>
      </c>
      <c r="J146" s="8" t="n">
        <v>69</v>
      </c>
      <c r="K146" s="8" t="n">
        <v>78</v>
      </c>
      <c r="L146" s="8" t="n">
        <v>92</v>
      </c>
      <c r="M146" s="8" t="n">
        <v>77</v>
      </c>
      <c r="N146" s="8" t="n">
        <v>57</v>
      </c>
      <c r="O146" s="8" t="n">
        <v>56</v>
      </c>
      <c r="P146" s="8" t="n">
        <v>96</v>
      </c>
      <c r="Q146" s="8" t="n">
        <v>79</v>
      </c>
      <c r="R146" s="8" t="n">
        <v>88</v>
      </c>
      <c r="S146" s="8" t="n">
        <v>135</v>
      </c>
      <c r="T146" s="8" t="n">
        <v>62</v>
      </c>
      <c r="U146" s="8" t="n">
        <v>29</v>
      </c>
      <c r="V146" s="8" t="n">
        <v>45</v>
      </c>
      <c r="W146" s="16" t="n">
        <v>0</v>
      </c>
      <c r="X146" s="16" t="n">
        <v>0</v>
      </c>
      <c r="Y146" s="16" t="n">
        <v>0</v>
      </c>
      <c r="Z146" s="16" t="n">
        <v>0</v>
      </c>
      <c r="AA146" s="16" t="n">
        <v>0</v>
      </c>
      <c r="AB146" s="16" t="n">
        <v>0</v>
      </c>
      <c r="AC146" s="16" t="n">
        <v>0</v>
      </c>
      <c r="AD146" s="16" t="n">
        <v>0</v>
      </c>
      <c r="AF146" s="8" t="n">
        <v>196</v>
      </c>
      <c r="AG146" s="8" t="n">
        <v>162</v>
      </c>
      <c r="AH146" s="8" t="n">
        <v>228</v>
      </c>
      <c r="AI146" s="8" t="n">
        <v>282</v>
      </c>
      <c r="AJ146" s="8" t="n">
        <v>398</v>
      </c>
      <c r="AK146" s="16">
        <f>T146+U146+V146+W146</f>
        <v/>
      </c>
      <c r="AL146" s="16">
        <f>X146+Y146+Z146+AA146</f>
        <v/>
      </c>
      <c r="AM146" s="16" t="n">
        <v>0</v>
      </c>
      <c r="AN146" s="16" t="n">
        <v>0</v>
      </c>
      <c r="AO146" s="16" t="n">
        <v>0</v>
      </c>
    </row>
    <row r="147">
      <c r="C147" s="9" t="inlineStr">
        <is>
          <t>RSU Tax Withholding</t>
        </is>
      </c>
      <c r="G147" s="8" t="n">
        <v>-146</v>
      </c>
      <c r="H147" s="8" t="n">
        <v>-125</v>
      </c>
      <c r="I147" s="8" t="n">
        <v>-134</v>
      </c>
      <c r="J147" s="8" t="n">
        <v>-117</v>
      </c>
      <c r="K147" s="8" t="n">
        <v>-257</v>
      </c>
      <c r="L147" s="8" t="n">
        <v>-212</v>
      </c>
      <c r="M147" s="8" t="n">
        <v>-218</v>
      </c>
      <c r="N147" s="8" t="n">
        <v>-202</v>
      </c>
      <c r="O147" s="8" t="n">
        <v>-370</v>
      </c>
      <c r="P147" s="8" t="n">
        <v>-239</v>
      </c>
      <c r="Q147" s="8" t="n">
        <v>-197</v>
      </c>
      <c r="R147" s="8" t="n">
        <v>-176</v>
      </c>
      <c r="S147" s="8" t="n">
        <v>-370</v>
      </c>
      <c r="T147" s="8" t="n">
        <v>-244</v>
      </c>
      <c r="U147" s="8" t="n">
        <v>-210</v>
      </c>
      <c r="V147" s="8" t="n">
        <v>-121</v>
      </c>
      <c r="W147" s="16" t="n">
        <v>0</v>
      </c>
      <c r="X147" s="16" t="n">
        <v>0</v>
      </c>
      <c r="Y147" s="16" t="n">
        <v>0</v>
      </c>
      <c r="Z147" s="16" t="n">
        <v>0</v>
      </c>
      <c r="AA147" s="16" t="n">
        <v>0</v>
      </c>
      <c r="AB147" s="16" t="n">
        <v>0</v>
      </c>
      <c r="AC147" s="16" t="n">
        <v>0</v>
      </c>
      <c r="AD147" s="16" t="n">
        <v>0</v>
      </c>
      <c r="AF147" s="8" t="n">
        <v>-383</v>
      </c>
      <c r="AG147" s="8" t="n">
        <v>-611</v>
      </c>
      <c r="AH147" s="8" t="n">
        <v>-633</v>
      </c>
      <c r="AI147" s="8" t="n">
        <v>-1002</v>
      </c>
      <c r="AJ147" s="8" t="n">
        <v>-982</v>
      </c>
      <c r="AK147" s="16">
        <f>T147+U147+V147+W147</f>
        <v/>
      </c>
      <c r="AL147" s="16">
        <f>X147+Y147+Z147+AA147</f>
        <v/>
      </c>
      <c r="AM147" s="16" t="n">
        <v>0</v>
      </c>
      <c r="AN147" s="16" t="n">
        <v>0</v>
      </c>
      <c r="AO147" s="16" t="n">
        <v>0</v>
      </c>
    </row>
    <row r="148">
      <c r="C148" s="9" t="inlineStr">
        <is>
          <t>Treasury Stock Purchases (Buybacks)</t>
        </is>
      </c>
      <c r="G148" s="8" t="n">
        <v>-524</v>
      </c>
      <c r="H148" s="8" t="n">
        <v>-510</v>
      </c>
      <c r="I148" s="8" t="n">
        <v>-507</v>
      </c>
      <c r="J148" s="8" t="n">
        <v>-478</v>
      </c>
      <c r="K148" s="8" t="n">
        <v>-472</v>
      </c>
      <c r="L148" s="8" t="n">
        <v>-584</v>
      </c>
      <c r="M148" s="8" t="n">
        <v>-551</v>
      </c>
      <c r="N148" s="8" t="n">
        <v>-572</v>
      </c>
      <c r="O148" s="8" t="n">
        <v>-281</v>
      </c>
      <c r="P148" s="8" t="n">
        <v>-557</v>
      </c>
      <c r="Q148" s="8" t="n">
        <v>-717</v>
      </c>
      <c r="R148" s="8" t="n">
        <v>-752</v>
      </c>
      <c r="S148" s="8" t="n">
        <v>-746</v>
      </c>
      <c r="T148" s="8" t="n">
        <v>-854</v>
      </c>
      <c r="U148" s="8" t="n">
        <v>-933</v>
      </c>
      <c r="V148" s="8" t="n">
        <v>-1554</v>
      </c>
      <c r="W148" s="16" t="n">
        <v>-700</v>
      </c>
      <c r="X148" s="16" t="n">
        <v>-700</v>
      </c>
      <c r="Y148" s="16" t="n">
        <v>-700</v>
      </c>
      <c r="Z148" s="16" t="n">
        <v>-700</v>
      </c>
      <c r="AA148" s="16" t="n">
        <v>-700</v>
      </c>
      <c r="AB148" s="16" t="n">
        <v>-700</v>
      </c>
      <c r="AC148" s="16" t="n">
        <v>-700</v>
      </c>
      <c r="AD148" s="16" t="n">
        <v>-700</v>
      </c>
      <c r="AF148" s="8" t="n">
        <v>-1005</v>
      </c>
      <c r="AG148" s="8" t="n">
        <v>-1861</v>
      </c>
      <c r="AH148" s="8" t="n">
        <v>-1967</v>
      </c>
      <c r="AI148" s="8" t="n">
        <v>-1988</v>
      </c>
      <c r="AJ148" s="8" t="n">
        <v>-2772</v>
      </c>
      <c r="AK148" s="16">
        <f>T148+U148+V148+W148</f>
        <v/>
      </c>
      <c r="AL148" s="16">
        <f>X148+Y148+Z148+AA148</f>
        <v/>
      </c>
      <c r="AM148" s="16" t="n">
        <v>-2800</v>
      </c>
      <c r="AN148" s="16" t="n">
        <v>-2900</v>
      </c>
      <c r="AO148" s="16" t="n">
        <v>-3000</v>
      </c>
    </row>
    <row r="149">
      <c r="C149" s="9" t="inlineStr">
        <is>
          <t>Dividends Paid</t>
        </is>
      </c>
      <c r="G149" s="8" t="n">
        <v>-194</v>
      </c>
      <c r="H149" s="8" t="n">
        <v>-222</v>
      </c>
      <c r="I149" s="8" t="n">
        <v>-224</v>
      </c>
      <c r="J149" s="8" t="n">
        <v>-221</v>
      </c>
      <c r="K149" s="8" t="n">
        <v>-222</v>
      </c>
      <c r="L149" s="8" t="n">
        <v>-260</v>
      </c>
      <c r="M149" s="8" t="n">
        <v>-256</v>
      </c>
      <c r="N149" s="8" t="n">
        <v>-257</v>
      </c>
      <c r="O149" s="8" t="n">
        <v>-261</v>
      </c>
      <c r="P149" s="8" t="n">
        <v>-296</v>
      </c>
      <c r="Q149" s="8" t="n">
        <v>-300</v>
      </c>
      <c r="R149" s="8" t="n">
        <v>-292</v>
      </c>
      <c r="S149" s="8" t="n">
        <v>-301</v>
      </c>
      <c r="T149" s="8" t="n">
        <v>-341</v>
      </c>
      <c r="U149" s="8" t="n">
        <v>-341</v>
      </c>
      <c r="V149" s="8" t="n">
        <v>-333</v>
      </c>
      <c r="W149" s="16">
        <f>W12*-0.07</f>
        <v/>
      </c>
      <c r="X149" s="16">
        <f>X12*-0.07</f>
        <v/>
      </c>
      <c r="Y149" s="16">
        <f>Y12*-0.07</f>
        <v/>
      </c>
      <c r="Z149" s="16">
        <f>Z12*-0.04</f>
        <v/>
      </c>
      <c r="AA149" s="16">
        <f>AA12*-0.075</f>
        <v/>
      </c>
      <c r="AB149" s="16">
        <f>AB12*-0.075</f>
        <v/>
      </c>
      <c r="AC149" s="16">
        <f>AC12*-0.075</f>
        <v/>
      </c>
      <c r="AD149" s="16">
        <f>AD12*-0.045</f>
        <v/>
      </c>
      <c r="AF149" s="8" t="n">
        <v>-646</v>
      </c>
      <c r="AG149" s="8" t="n">
        <v>-774</v>
      </c>
      <c r="AH149" s="8" t="n">
        <v>-889</v>
      </c>
      <c r="AI149" s="8" t="n">
        <v>-1034</v>
      </c>
      <c r="AJ149" s="8" t="n">
        <v>-1189</v>
      </c>
      <c r="AK149" s="16">
        <f>T149+U149+V149+W149</f>
        <v/>
      </c>
      <c r="AL149" s="16">
        <f>X149+Y149+Z149+AA149</f>
        <v/>
      </c>
      <c r="AM149" s="16">
        <f>AM12*-0.062</f>
        <v/>
      </c>
      <c r="AN149" s="16">
        <f>AN12*-0.064</f>
        <v/>
      </c>
      <c r="AO149" s="16">
        <f>AO12*-0.066</f>
        <v/>
      </c>
    </row>
    <row r="150">
      <c r="C150" s="9" t="inlineStr">
        <is>
          <t>Net Change in Funds Receivable + Funds Payable</t>
        </is>
      </c>
      <c r="G150" s="8" t="n">
        <v>-138</v>
      </c>
      <c r="H150" s="8" t="n">
        <v>-186</v>
      </c>
      <c r="I150" s="8" t="n">
        <v>-13</v>
      </c>
      <c r="J150" s="8" t="n">
        <v>3</v>
      </c>
      <c r="K150" s="8" t="n">
        <v>-1</v>
      </c>
      <c r="L150" s="8" t="n">
        <v>2040</v>
      </c>
      <c r="M150" s="8" t="n">
        <v>881</v>
      </c>
      <c r="N150" s="8" t="n">
        <v>-709</v>
      </c>
      <c r="O150" s="8" t="n">
        <v>1224</v>
      </c>
      <c r="P150" s="8" t="n">
        <v>1672</v>
      </c>
      <c r="Q150" s="8" t="n">
        <v>-2255</v>
      </c>
      <c r="R150" s="8" t="n">
        <v>1834</v>
      </c>
      <c r="S150" s="8" t="n">
        <v>1856</v>
      </c>
      <c r="T150" s="8" t="n">
        <v>-3160</v>
      </c>
      <c r="U150" s="8" t="n">
        <v>404</v>
      </c>
      <c r="V150" s="8" t="n">
        <v>3389</v>
      </c>
      <c r="W150" s="16" t="n">
        <v>0</v>
      </c>
      <c r="X150" s="16" t="n">
        <v>0</v>
      </c>
      <c r="Y150" s="16" t="n">
        <v>0</v>
      </c>
      <c r="Z150" s="16" t="n">
        <v>0</v>
      </c>
      <c r="AA150" s="16" t="n">
        <v>0</v>
      </c>
      <c r="AB150" s="16" t="n">
        <v>0</v>
      </c>
      <c r="AC150" s="16" t="n">
        <v>0</v>
      </c>
      <c r="AD150" s="16" t="n">
        <v>0</v>
      </c>
      <c r="AF150" s="8" t="n">
        <v>2</v>
      </c>
      <c r="AG150" s="8" t="n">
        <v>-56</v>
      </c>
      <c r="AH150" s="8" t="n">
        <v>-197</v>
      </c>
      <c r="AI150" s="8" t="n">
        <v>3436</v>
      </c>
      <c r="AJ150" s="8" t="n">
        <v>3107</v>
      </c>
      <c r="AK150" s="16">
        <f>T150+U150+V150+W150</f>
        <v/>
      </c>
      <c r="AL150" s="16">
        <f>X150+Y150+Z150+AA150</f>
        <v/>
      </c>
      <c r="AM150" s="16" t="n">
        <v>0</v>
      </c>
      <c r="AN150" s="16" t="n">
        <v>0</v>
      </c>
      <c r="AO150" s="16" t="n">
        <v>0</v>
      </c>
    </row>
    <row r="151">
      <c r="C151" s="9" t="inlineStr">
        <is>
          <t>Cash Received from Bank Partner</t>
        </is>
      </c>
      <c r="G151" s="8" t="n">
        <v>0</v>
      </c>
      <c r="H151" s="8" t="n">
        <v>0</v>
      </c>
      <c r="I151" s="8" t="n">
        <v>0</v>
      </c>
      <c r="J151" s="8" t="n">
        <v>0</v>
      </c>
      <c r="K151" s="8" t="n">
        <v>0</v>
      </c>
      <c r="L151" s="8" t="n">
        <v>0</v>
      </c>
      <c r="M151" s="8" t="n">
        <v>0</v>
      </c>
      <c r="N151" s="8" t="n">
        <v>0</v>
      </c>
      <c r="O151" s="8" t="n">
        <v>0</v>
      </c>
      <c r="P151" s="8" t="n">
        <v>0</v>
      </c>
      <c r="Q151" s="8" t="n">
        <v>0</v>
      </c>
      <c r="R151" s="8" t="n">
        <v>0</v>
      </c>
      <c r="S151" s="8" t="n">
        <v>0</v>
      </c>
      <c r="T151" s="8" t="n">
        <v>0</v>
      </c>
      <c r="U151" s="8" t="n">
        <v>0</v>
      </c>
      <c r="V151" s="8" t="n">
        <v>0</v>
      </c>
      <c r="W151" s="16" t="n">
        <v>0</v>
      </c>
      <c r="X151" s="16" t="n">
        <v>0</v>
      </c>
      <c r="Y151" s="16" t="n">
        <v>0</v>
      </c>
      <c r="Z151" s="16" t="n">
        <v>0</v>
      </c>
      <c r="AA151" s="16" t="n">
        <v>0</v>
      </c>
      <c r="AB151" s="16" t="n">
        <v>0</v>
      </c>
      <c r="AC151" s="16" t="n">
        <v>0</v>
      </c>
      <c r="AD151" s="16" t="n">
        <v>0</v>
      </c>
      <c r="AF151" s="8" t="n">
        <v>0</v>
      </c>
      <c r="AG151" s="8" t="n">
        <v>0</v>
      </c>
      <c r="AH151" s="8" t="n">
        <v>0</v>
      </c>
      <c r="AI151" s="8" t="n">
        <v>0</v>
      </c>
      <c r="AJ151" s="8" t="n">
        <v>0</v>
      </c>
      <c r="AK151" s="16">
        <f>T151+U151+V151+W151</f>
        <v/>
      </c>
      <c r="AL151" s="16">
        <f>X151+Y151+Z151+AA151</f>
        <v/>
      </c>
      <c r="AM151" s="16" t="n">
        <v>0</v>
      </c>
      <c r="AN151" s="16" t="n">
        <v>0</v>
      </c>
      <c r="AO151" s="16" t="n">
        <v>0</v>
      </c>
    </row>
    <row r="152">
      <c r="C152" s="9" t="inlineStr">
        <is>
          <t>Other CFF Items</t>
        </is>
      </c>
      <c r="G152" s="8" t="n">
        <v>-1</v>
      </c>
      <c r="H152" s="8" t="n">
        <v>0</v>
      </c>
      <c r="I152" s="8" t="n">
        <v>310</v>
      </c>
      <c r="J152" s="8" t="n">
        <v>-336</v>
      </c>
      <c r="K152" s="8" t="n">
        <v>0</v>
      </c>
      <c r="L152" s="8" t="n">
        <v>17</v>
      </c>
      <c r="M152" s="8" t="n">
        <v>-44</v>
      </c>
      <c r="N152" s="8" t="n">
        <v>-1</v>
      </c>
      <c r="O152" s="8" t="n">
        <v>1</v>
      </c>
      <c r="P152" s="8" t="n">
        <v>0</v>
      </c>
      <c r="Q152" s="8" t="n">
        <v>-4</v>
      </c>
      <c r="R152" s="8" t="n">
        <v>0</v>
      </c>
      <c r="S152" s="8" t="n">
        <v>3</v>
      </c>
      <c r="T152" s="8" t="n">
        <v>-1</v>
      </c>
      <c r="U152" s="8" t="n">
        <v>-6</v>
      </c>
      <c r="V152" s="8" t="n">
        <v>0</v>
      </c>
      <c r="W152" s="16" t="n">
        <v>0</v>
      </c>
      <c r="X152" s="16" t="n">
        <v>0</v>
      </c>
      <c r="Y152" s="16" t="n">
        <v>0</v>
      </c>
      <c r="Z152" s="16" t="n">
        <v>0</v>
      </c>
      <c r="AA152" s="16" t="n">
        <v>0</v>
      </c>
      <c r="AB152" s="16" t="n">
        <v>0</v>
      </c>
      <c r="AC152" s="16" t="n">
        <v>0</v>
      </c>
      <c r="AD152" s="16" t="n">
        <v>0</v>
      </c>
      <c r="AF152" s="8" t="n">
        <v>-2</v>
      </c>
      <c r="AG152" s="8" t="n">
        <v>-10</v>
      </c>
      <c r="AH152" s="8" t="n">
        <v>-1</v>
      </c>
      <c r="AI152" s="8" t="n">
        <v>-2</v>
      </c>
      <c r="AJ152" s="8" t="n">
        <v>-1</v>
      </c>
      <c r="AK152" s="16">
        <f>T152+U152+V152+W152</f>
        <v/>
      </c>
      <c r="AL152" s="16">
        <f>X152+Y152+Z152+AA152</f>
        <v/>
      </c>
      <c r="AM152" s="16" t="n">
        <v>0</v>
      </c>
      <c r="AN152" s="16" t="n">
        <v>0</v>
      </c>
      <c r="AO152" s="16" t="n">
        <v>0</v>
      </c>
    </row>
    <row r="153">
      <c r="B153" s="6" t="inlineStr">
        <is>
          <t>Cash Flow from Financing Activities</t>
        </is>
      </c>
      <c r="G153" s="10">
        <f>G140+G141+G142+G143+G144+G145+G146+G147+G148+G149+G150+G151+G152</f>
        <v/>
      </c>
      <c r="H153" s="10">
        <f>H140+H141+H142+H143+H144+H145+H146+H147+H148+H149+H150+H151+H152</f>
        <v/>
      </c>
      <c r="I153" s="10">
        <f>I140+I141+I142+I143+I144+I145+I146+I147+I148+I149+I150+I151+I152</f>
        <v/>
      </c>
      <c r="J153" s="10">
        <f>J140+J141+J142+J143+J144+J145+J146+J147+J148+J149+J150+J151+J152</f>
        <v/>
      </c>
      <c r="K153" s="10">
        <f>K140+K141+K142+K143+K144+K145+K146+K147+K148+K149+K150+K151+K152</f>
        <v/>
      </c>
      <c r="L153" s="10">
        <f>L140+L141+L142+L143+L144+L145+L146+L147+L148+L149+L150+L151+L152</f>
        <v/>
      </c>
      <c r="M153" s="10">
        <f>M140+M141+M142+M143+M144+M145+M146+M147+M148+M149+M150+M151+M152</f>
        <v/>
      </c>
      <c r="N153" s="10">
        <f>N140+N141+N142+N143+N144+N145+N146+N147+N148+N149+N150+N151+N152</f>
        <v/>
      </c>
      <c r="O153" s="10">
        <f>O140+O141+O142+O143+O144+O145+O146+O147+O148+O149+O150+O151+O152</f>
        <v/>
      </c>
      <c r="P153" s="10">
        <f>P140+P141+P142+P143+P144+P145+P146+P147+P148+P149+P150+P151+P152</f>
        <v/>
      </c>
      <c r="Q153" s="10">
        <f>Q140+Q141+Q142+Q143+Q144+Q145+Q146+Q147+Q148+Q149+Q150+Q151+Q152</f>
        <v/>
      </c>
      <c r="R153" s="10">
        <f>R140+R141+R142+R143+R144+R145+R146+R147+R148+R149+R150+R151+R152</f>
        <v/>
      </c>
      <c r="S153" s="10">
        <f>S140+S141+S142+S143+S144+S145+S146+S147+S148+S149+S150+S151+S152</f>
        <v/>
      </c>
      <c r="T153" s="10">
        <f>T140+T141+T142+T143+T144+T145+T146+T147+T148+T149+T150+T151+T152</f>
        <v/>
      </c>
      <c r="U153" s="10">
        <f>U140+U141+U142+U143+U144+U145+U146+U147+U148+U149+U150+U151+U152</f>
        <v/>
      </c>
      <c r="V153" s="10">
        <f>V140+V141+V142+V143+V144+V145+V146+V147+V148+V149+V150+V151+V152</f>
        <v/>
      </c>
      <c r="W153" s="10">
        <f>W140+W141+W142+W143+W144+W145+W146+W147+W148+W149+W150+W151+W152</f>
        <v/>
      </c>
      <c r="X153" s="10">
        <f>X140+X141+X142+X143+X144+X145+X146+X147+X148+X149+X150+X151+X152</f>
        <v/>
      </c>
      <c r="Y153" s="10">
        <f>Y140+Y141+Y142+Y143+Y144+Y145+Y146+Y147+Y148+Y149+Y150+Y151+Y152</f>
        <v/>
      </c>
      <c r="Z153" s="10">
        <f>Z140+Z141+Z142+Z143+Z144+Z145+Z146+Z147+Z148+Z149+Z150+Z151+Z152</f>
        <v/>
      </c>
      <c r="AA153" s="10">
        <f>AA140+AA141+AA142+AA143+AA144+AA145+AA146+AA147+AA148+AA149+AA150+AA151+AA152</f>
        <v/>
      </c>
      <c r="AB153" s="10">
        <f>AB140+AB141+AB142+AB143+AB144+AB145+AB146+AB147+AB148+AB149+AB150+AB151+AB152</f>
        <v/>
      </c>
      <c r="AC153" s="10">
        <f>AC140+AC141+AC142+AC143+AC144+AC145+AC146+AC147+AC148+AC149+AC150+AC151+AC152</f>
        <v/>
      </c>
      <c r="AD153" s="10">
        <f>AD140+AD141+AD142+AD143+AD144+AD145+AD146+AD147+AD148+AD149+AD150+AD151+AD152</f>
        <v/>
      </c>
      <c r="AF153" s="10">
        <f>AF140+AF141+AF142+AF143+AF144+AF145+AF146+AF147+AF148+AF149+AF150+AF151+AF152</f>
        <v/>
      </c>
      <c r="AG153" s="10">
        <f>AG140+AG141+AG142+AG143+AG144+AG145+AG146+AG147+AG148+AG149+AG150+AG151+AG152</f>
        <v/>
      </c>
      <c r="AH153" s="10">
        <f>AH140+AH141+AH142+AH143+AH144+AH145+AH146+AH147+AH148+AH149+AH150+AH151+AH152</f>
        <v/>
      </c>
      <c r="AI153" s="10">
        <f>AI140+AI141+AI142+AI143+AI144+AI145+AI146+AI147+AI148+AI149+AI150+AI151+AI152</f>
        <v/>
      </c>
      <c r="AJ153" s="10">
        <f>AJ140+AJ141+AJ142+AJ143+AJ144+AJ145+AJ146+AJ147+AJ148+AJ149+AJ150+AJ151+AJ152</f>
        <v/>
      </c>
      <c r="AK153" s="10">
        <f>T153+U153+V153+W153</f>
        <v/>
      </c>
      <c r="AL153" s="10">
        <f>X153+Y153+Z153+AA153</f>
        <v/>
      </c>
      <c r="AM153" s="10">
        <f>AM140+AM141+AM142+AM143+AM144+AM145+AM146+AM147+AM148+AM149+AM150+AM151+AM152</f>
        <v/>
      </c>
      <c r="AN153" s="10">
        <f>AN140+AN141+AN142+AN143+AN144+AN145+AN146+AN147+AN148+AN149+AN150+AN151+AN152</f>
        <v/>
      </c>
      <c r="AO153" s="10">
        <f>AO140+AO141+AO142+AO143+AO144+AO145+AO146+AO147+AO148+AO149+AO150+AO151+AO152</f>
        <v/>
      </c>
    </row>
    <row r="154">
      <c r="D154" s="3" t="inlineStr">
        <is>
          <t>Recon: CFF</t>
        </is>
      </c>
      <c r="G154" s="21">
        <f>IF(_reported!G23="","",G153-_reported!G23)</f>
        <v/>
      </c>
      <c r="H154" s="21">
        <f>IF(_reported!H23="","",H153-_reported!H23)</f>
        <v/>
      </c>
      <c r="I154" s="21">
        <f>IF(_reported!I23="","",I153-_reported!I23)</f>
        <v/>
      </c>
      <c r="J154" s="21">
        <f>IF(_reported!J23="","",J153-_reported!J23)</f>
        <v/>
      </c>
      <c r="K154" s="21">
        <f>IF(_reported!K23="","",K153-_reported!K23)</f>
        <v/>
      </c>
      <c r="L154" s="21">
        <f>IF(_reported!L23="","",L153-_reported!L23)</f>
        <v/>
      </c>
      <c r="M154" s="21">
        <f>IF(_reported!M23="","",M153-_reported!M23)</f>
        <v/>
      </c>
      <c r="N154" s="21">
        <f>IF(_reported!N23="","",N153-_reported!N23)</f>
        <v/>
      </c>
      <c r="O154" s="21">
        <f>IF(_reported!O23="","",O153-_reported!O23)</f>
        <v/>
      </c>
      <c r="P154" s="21">
        <f>IF(_reported!P23="","",P153-_reported!P23)</f>
        <v/>
      </c>
      <c r="Q154" s="21">
        <f>IF(_reported!Q23="","",Q153-_reported!Q23)</f>
        <v/>
      </c>
      <c r="R154" s="21">
        <f>IF(_reported!R23="","",R153-_reported!R23)</f>
        <v/>
      </c>
      <c r="S154" s="21">
        <f>IF(_reported!S23="","",S153-_reported!S23)</f>
        <v/>
      </c>
      <c r="T154" s="21">
        <f>IF(_reported!T23="","",T153-_reported!T23)</f>
        <v/>
      </c>
      <c r="U154" s="21">
        <f>IF(_reported!U23="","",U153-_reported!U23)</f>
        <v/>
      </c>
      <c r="V154" s="21">
        <f>IF(_reported!V23="","",V153-_reported!V23)</f>
        <v/>
      </c>
      <c r="AF154" s="21">
        <f>IF(_reported!AF23="","",AF153-_reported!AF23)</f>
        <v/>
      </c>
      <c r="AG154" s="21">
        <f>IF(_reported!AG23="","",AG153-_reported!AG23)</f>
        <v/>
      </c>
      <c r="AH154" s="21">
        <f>IF(_reported!AH23="","",AH153-_reported!AH23)</f>
        <v/>
      </c>
      <c r="AI154" s="21">
        <f>IF(_reported!AI23="","",AI153-_reported!AI23)</f>
        <v/>
      </c>
      <c r="AJ154" s="21">
        <f>IF(_reported!AJ23="","",AJ153-_reported!AJ23)</f>
        <v/>
      </c>
    </row>
    <row r="155"/>
    <row r="156">
      <c r="C156" s="9" t="inlineStr">
        <is>
          <t>Effect of FX on Cash</t>
        </is>
      </c>
      <c r="G156" s="8" t="n">
        <v>-4</v>
      </c>
      <c r="H156" s="8" t="n">
        <v>-16</v>
      </c>
      <c r="I156" s="8" t="n">
        <v>15</v>
      </c>
      <c r="J156" s="8" t="n">
        <v>3</v>
      </c>
      <c r="K156" s="8" t="n">
        <v>-2</v>
      </c>
      <c r="L156" s="8" t="n">
        <v>-17</v>
      </c>
      <c r="M156" s="8" t="n">
        <v>13</v>
      </c>
      <c r="N156" s="8" t="n">
        <v>-8</v>
      </c>
      <c r="O156" s="8" t="n">
        <v>-1</v>
      </c>
      <c r="P156" s="8" t="n">
        <v>0</v>
      </c>
      <c r="Q156" s="8" t="n">
        <v>-12</v>
      </c>
      <c r="R156" s="8" t="n">
        <v>16</v>
      </c>
      <c r="S156" s="8" t="n">
        <v>-1</v>
      </c>
      <c r="T156" s="8" t="n">
        <v>-1</v>
      </c>
      <c r="U156" s="8" t="n">
        <v>7</v>
      </c>
      <c r="V156" s="8" t="n">
        <v>3</v>
      </c>
      <c r="W156" s="16" t="n">
        <v>0</v>
      </c>
      <c r="X156" s="16" t="n">
        <v>0</v>
      </c>
      <c r="Y156" s="16" t="n">
        <v>0</v>
      </c>
      <c r="Z156" s="16" t="n">
        <v>0</v>
      </c>
      <c r="AA156" s="16" t="n">
        <v>0</v>
      </c>
      <c r="AB156" s="16" t="n">
        <v>0</v>
      </c>
      <c r="AC156" s="16" t="n">
        <v>0</v>
      </c>
      <c r="AD156" s="16" t="n">
        <v>0</v>
      </c>
      <c r="AF156" s="8" t="n">
        <v>13</v>
      </c>
      <c r="AG156" s="8" t="n">
        <v>-22</v>
      </c>
      <c r="AH156" s="8" t="n">
        <v>0</v>
      </c>
      <c r="AI156" s="8" t="n">
        <v>-13</v>
      </c>
      <c r="AJ156" s="8" t="n">
        <v>3</v>
      </c>
      <c r="AK156" s="16">
        <f>T156+U156+V156+W156</f>
        <v/>
      </c>
      <c r="AL156" s="16">
        <f>X156+Y156+Z156+AA156</f>
        <v/>
      </c>
      <c r="AM156" s="16" t="n">
        <v>0</v>
      </c>
      <c r="AN156" s="16" t="n">
        <v>0</v>
      </c>
      <c r="AO156" s="16" t="n">
        <v>0</v>
      </c>
    </row>
    <row r="157">
      <c r="B157" s="6" t="inlineStr">
        <is>
          <t>Net Change in Cash</t>
        </is>
      </c>
      <c r="G157" s="10">
        <f>G124+G137+G153+G156</f>
        <v/>
      </c>
      <c r="H157" s="10">
        <f>H124+H137+H153+H156</f>
        <v/>
      </c>
      <c r="I157" s="10">
        <f>I124+I137+I153+I156</f>
        <v/>
      </c>
      <c r="J157" s="10">
        <f>J124+J137+J153+J156</f>
        <v/>
      </c>
      <c r="K157" s="10">
        <f>K124+K137+K153+K156</f>
        <v/>
      </c>
      <c r="L157" s="10">
        <f>L124+L137+L153+L156</f>
        <v/>
      </c>
      <c r="M157" s="10">
        <f>M124+M137+M153+M156</f>
        <v/>
      </c>
      <c r="N157" s="10">
        <f>N124+N137+N153+N156</f>
        <v/>
      </c>
      <c r="O157" s="10">
        <f>O124+O137+O153+O156</f>
        <v/>
      </c>
      <c r="P157" s="10">
        <f>P124+P137+P153+P156</f>
        <v/>
      </c>
      <c r="Q157" s="10">
        <f>Q124+Q137+Q153+Q156</f>
        <v/>
      </c>
      <c r="R157" s="10">
        <f>R124+R137+R153+R156</f>
        <v/>
      </c>
      <c r="S157" s="10">
        <f>S124+S137+S153+S156</f>
        <v/>
      </c>
      <c r="T157" s="10">
        <f>T124+T137+T153+T156</f>
        <v/>
      </c>
      <c r="U157" s="10">
        <f>U124+U137+U153+U156</f>
        <v/>
      </c>
      <c r="V157" s="10">
        <f>V124+V137+V153+V156</f>
        <v/>
      </c>
      <c r="W157" s="10">
        <f>W124+W137+W153+W156</f>
        <v/>
      </c>
      <c r="X157" s="10">
        <f>X124+X137+X153+X156</f>
        <v/>
      </c>
      <c r="Y157" s="10">
        <f>Y124+Y137+Y153+Y156</f>
        <v/>
      </c>
      <c r="Z157" s="10">
        <f>Z124+Z137+Z153+Z156</f>
        <v/>
      </c>
      <c r="AA157" s="10">
        <f>AA124+AA137+AA153+AA156</f>
        <v/>
      </c>
      <c r="AB157" s="10">
        <f>AB124+AB137+AB153+AB156</f>
        <v/>
      </c>
      <c r="AC157" s="10">
        <f>AC124+AC137+AC153+AC156</f>
        <v/>
      </c>
      <c r="AD157" s="10">
        <f>AD124+AD137+AD153+AD156</f>
        <v/>
      </c>
      <c r="AF157" s="10">
        <f>AF124+AF137+AF153+AF156</f>
        <v/>
      </c>
      <c r="AG157" s="10">
        <f>AG124+AG137+AG153+AG156</f>
        <v/>
      </c>
      <c r="AH157" s="10">
        <f>AH124+AH137+AH153+AH156</f>
        <v/>
      </c>
      <c r="AI157" s="10">
        <f>AI124+AI137+AI153+AI156</f>
        <v/>
      </c>
      <c r="AJ157" s="10">
        <f>AJ124+AJ137+AJ153+AJ156</f>
        <v/>
      </c>
      <c r="AK157" s="10">
        <f>T157+U157+V157+W157</f>
        <v/>
      </c>
      <c r="AL157" s="10">
        <f>X157+Y157+Z157+AA157</f>
        <v/>
      </c>
      <c r="AM157" s="10">
        <f>AM124+AM137+AM153+AM156</f>
        <v/>
      </c>
      <c r="AN157" s="10">
        <f>AN124+AN137+AN153+AN156</f>
        <v/>
      </c>
      <c r="AO157" s="10">
        <f>AO124+AO137+AO153+AO156</f>
        <v/>
      </c>
    </row>
    <row r="158">
      <c r="D158" s="3" t="inlineStr">
        <is>
          <t>Recon: Net Change in Cash</t>
        </is>
      </c>
      <c r="G158" s="21">
        <f>IF(_reported!G24="","",G157-_reported!G24)</f>
        <v/>
      </c>
      <c r="H158" s="21">
        <f>IF(_reported!H24="","",H157-_reported!H24)</f>
        <v/>
      </c>
      <c r="I158" s="21">
        <f>IF(_reported!I24="","",I157-_reported!I24)</f>
        <v/>
      </c>
      <c r="J158" s="21">
        <f>IF(_reported!J24="","",J157-_reported!J24)</f>
        <v/>
      </c>
      <c r="K158" s="21">
        <f>IF(_reported!K24="","",K157-_reported!K24)</f>
        <v/>
      </c>
      <c r="L158" s="21">
        <f>IF(_reported!L24="","",L157-_reported!L24)</f>
        <v/>
      </c>
      <c r="M158" s="21">
        <f>IF(_reported!M24="","",M157-_reported!M24)</f>
        <v/>
      </c>
      <c r="N158" s="21">
        <f>IF(_reported!N24="","",N157-_reported!N24)</f>
        <v/>
      </c>
      <c r="O158" s="21">
        <f>IF(_reported!O24="","",O157-_reported!O24)</f>
        <v/>
      </c>
      <c r="P158" s="21">
        <f>IF(_reported!P24="","",P157-_reported!P24)</f>
        <v/>
      </c>
      <c r="Q158" s="21">
        <f>IF(_reported!Q24="","",Q157-_reported!Q24)</f>
        <v/>
      </c>
      <c r="R158" s="21">
        <f>IF(_reported!R24="","",R157-_reported!R24)</f>
        <v/>
      </c>
      <c r="S158" s="21">
        <f>IF(_reported!S24="","",S157-_reported!S24)</f>
        <v/>
      </c>
      <c r="T158" s="21">
        <f>IF(_reported!T24="","",T157-_reported!T24)</f>
        <v/>
      </c>
      <c r="U158" s="21">
        <f>IF(_reported!U24="","",U157-_reported!U24)</f>
        <v/>
      </c>
      <c r="V158" s="21">
        <f>IF(_reported!V24="","",V157-_reported!V24)</f>
        <v/>
      </c>
      <c r="AF158" s="21">
        <f>IF(_reported!AF24="","",AF157-_reported!AF24)</f>
        <v/>
      </c>
      <c r="AG158" s="21">
        <f>IF(_reported!AG24="","",AG157-_reported!AG24)</f>
        <v/>
      </c>
      <c r="AH158" s="21">
        <f>IF(_reported!AH24="","",AH157-_reported!AH24)</f>
        <v/>
      </c>
      <c r="AI158" s="21">
        <f>IF(_reported!AI24="","",AI157-_reported!AI24)</f>
        <v/>
      </c>
      <c r="AJ158" s="21">
        <f>IF(_reported!AJ24="","",AJ157-_reported!AJ24)</f>
        <v/>
      </c>
    </row>
    <row r="159"/>
    <row r="160"/>
    <row r="161">
      <c r="B161" s="7" t="inlineStr">
        <is>
          <t>KPI Drivers</t>
        </is>
      </c>
      <c r="C161" s="7" t="n"/>
      <c r="D161" s="7" t="n"/>
      <c r="E161" s="7" t="n"/>
      <c r="F161" s="7" t="n"/>
      <c r="G161" s="7" t="n"/>
      <c r="H161" s="7" t="n"/>
      <c r="I161" s="7" t="n"/>
      <c r="J161" s="7" t="n"/>
      <c r="K161" s="7" t="n"/>
      <c r="L161" s="7" t="n"/>
      <c r="M161" s="7" t="n"/>
      <c r="N161" s="7" t="n"/>
      <c r="O161" s="7" t="n"/>
      <c r="P161" s="7" t="n"/>
      <c r="Q161" s="7" t="n"/>
      <c r="R161" s="7" t="n"/>
      <c r="S161" s="7" t="n"/>
      <c r="T161" s="7" t="n"/>
      <c r="U161" s="7" t="n"/>
      <c r="V161" s="7" t="n"/>
      <c r="W161" s="7" t="n"/>
      <c r="X161" s="7" t="n"/>
      <c r="Y161" s="7" t="n"/>
      <c r="Z161" s="7" t="n"/>
      <c r="AA161" s="7" t="n"/>
      <c r="AB161" s="7" t="n"/>
      <c r="AC161" s="7" t="n"/>
      <c r="AD161" s="7" t="n"/>
      <c r="AF161" s="7" t="n"/>
      <c r="AG161" s="7" t="n"/>
      <c r="AH161" s="7" t="n"/>
      <c r="AI161" s="7" t="n"/>
      <c r="AJ161" s="7" t="n"/>
      <c r="AK161" s="7" t="n"/>
      <c r="AL161" s="7" t="n"/>
      <c r="AM161" s="7" t="n"/>
      <c r="AN161" s="7" t="n"/>
      <c r="AO161" s="7" t="n"/>
    </row>
    <row r="162"/>
    <row r="163">
      <c r="C163" s="9" t="inlineStr">
        <is>
          <t>Global Business Solutions Revenue ($M)</t>
        </is>
      </c>
      <c r="G163" s="8" t="n">
        <v>1769</v>
      </c>
      <c r="H163" s="8" t="n">
        <v>1988</v>
      </c>
      <c r="I163" s="8" t="n">
        <v>1897</v>
      </c>
      <c r="J163" s="8" t="n">
        <v>2021</v>
      </c>
      <c r="K163" s="8" t="n">
        <v>2132</v>
      </c>
      <c r="L163" s="8" t="n">
        <v>2344</v>
      </c>
      <c r="M163" s="8" t="n">
        <v>2245</v>
      </c>
      <c r="N163" s="8" t="n">
        <v>2387</v>
      </c>
      <c r="O163" s="8" t="n">
        <v>2557</v>
      </c>
      <c r="P163" s="8" t="n">
        <v>2544</v>
      </c>
      <c r="Q163" s="8" t="n">
        <v>2671</v>
      </c>
      <c r="R163" s="8" t="n">
        <v>2849</v>
      </c>
      <c r="S163" s="8" t="n">
        <v>3013</v>
      </c>
      <c r="T163" s="8" t="n">
        <v>2991</v>
      </c>
      <c r="U163" s="8" t="n">
        <v>3164</v>
      </c>
      <c r="V163" s="8" t="n">
        <v>3285</v>
      </c>
      <c r="W163" s="16">
        <f>S163*(1+W164)</f>
        <v/>
      </c>
      <c r="X163" s="16">
        <f>T163*(1+X164)</f>
        <v/>
      </c>
      <c r="Y163" s="16">
        <f>U163*(1+Y164)</f>
        <v/>
      </c>
      <c r="Z163" s="16">
        <f>V163*(1+Z164)</f>
        <v/>
      </c>
      <c r="AA163" s="16">
        <f>W163*(1+AA164)</f>
        <v/>
      </c>
      <c r="AB163" s="16">
        <f>X163*(1+AB164)</f>
        <v/>
      </c>
      <c r="AC163" s="16">
        <f>Y163*(1+AC164)</f>
        <v/>
      </c>
      <c r="AD163" s="16">
        <f>Z163*(1+AD164)</f>
        <v/>
      </c>
      <c r="AF163" s="8" t="n">
        <v>4688</v>
      </c>
      <c r="AG163" s="8" t="n">
        <v>6460</v>
      </c>
      <c r="AH163" s="8" t="n">
        <v>8038</v>
      </c>
      <c r="AI163" s="8" t="n">
        <v>9533</v>
      </c>
      <c r="AJ163" s="8" t="n">
        <v>11077</v>
      </c>
      <c r="AK163" s="16">
        <f>T163+U163+V163+W163</f>
        <v/>
      </c>
      <c r="AL163" s="16">
        <f>X163+Y163+Z163+AA163</f>
        <v/>
      </c>
      <c r="AM163" s="16">
        <f>AL163*(1+AM164)</f>
        <v/>
      </c>
      <c r="AN163" s="16">
        <f>AM163*(1+AN164)</f>
        <v/>
      </c>
      <c r="AO163" s="16">
        <f>AN163*(1+AO164)</f>
        <v/>
      </c>
    </row>
    <row r="164">
      <c r="D164" s="3" t="inlineStr">
        <is>
          <t>YoY growth</t>
        </is>
      </c>
      <c r="K164" s="24">
        <f>IFERROR(K163/G163-1,"")</f>
        <v/>
      </c>
      <c r="L164" s="24">
        <f>IFERROR(L163/H163-1,"")</f>
        <v/>
      </c>
      <c r="M164" s="24">
        <f>IFERROR(M163/I163-1,"")</f>
        <v/>
      </c>
      <c r="N164" s="24">
        <f>IFERROR(N163/J163-1,"")</f>
        <v/>
      </c>
      <c r="O164" s="24">
        <f>IFERROR(O163/K163-1,"")</f>
        <v/>
      </c>
      <c r="P164" s="24">
        <f>IFERROR(P163/L163-1,"")</f>
        <v/>
      </c>
      <c r="Q164" s="24">
        <f>IFERROR(Q163/M163-1,"")</f>
        <v/>
      </c>
      <c r="R164" s="24">
        <f>IFERROR(R163/N163-1,"")</f>
        <v/>
      </c>
      <c r="S164" s="24">
        <f>IFERROR(S163/O163-1,"")</f>
        <v/>
      </c>
      <c r="T164" s="24">
        <f>IFERROR(T163/P163-1,"")</f>
        <v/>
      </c>
      <c r="U164" s="24">
        <f>IFERROR(U163/Q163-1,"")</f>
        <v/>
      </c>
      <c r="V164" s="24">
        <f>IFERROR(V163/R163-1,"")</f>
        <v/>
      </c>
      <c r="W164" s="25" t="n">
        <v>0.15</v>
      </c>
      <c r="X164" s="25" t="n">
        <v>0.16</v>
      </c>
      <c r="Y164" s="25" t="n">
        <v>0.155</v>
      </c>
      <c r="Z164" s="25" t="n">
        <v>0.15</v>
      </c>
      <c r="AA164" s="25" t="n">
        <v>0.145</v>
      </c>
      <c r="AB164" s="25" t="n">
        <v>0.14</v>
      </c>
      <c r="AC164" s="25" t="n">
        <v>0.135</v>
      </c>
      <c r="AD164" s="25" t="n">
        <v>0.13</v>
      </c>
      <c r="AG164" s="24">
        <f>IFERROR(AG163/AF163-1,"")</f>
        <v/>
      </c>
      <c r="AH164" s="24">
        <f>IFERROR(AH163/AG163-1,"")</f>
        <v/>
      </c>
      <c r="AI164" s="24">
        <f>IFERROR(AI163/AH163-1,"")</f>
        <v/>
      </c>
      <c r="AJ164" s="24">
        <f>IFERROR(AJ163/AI163-1,"")</f>
        <v/>
      </c>
      <c r="AM164" s="25" t="n">
        <v>0.135</v>
      </c>
      <c r="AN164" s="25" t="n">
        <v>0.125</v>
      </c>
      <c r="AO164" s="25" t="n">
        <v>0.115</v>
      </c>
    </row>
    <row r="165"/>
    <row r="166">
      <c r="C166" s="9" t="inlineStr">
        <is>
          <t>Consumer (TurboTax) Revenue ($M)</t>
        </is>
      </c>
      <c r="G166" s="8" t="n">
        <v>145</v>
      </c>
      <c r="H166" s="8" t="n">
        <v>150</v>
      </c>
      <c r="I166" s="8" t="n">
        <v>516</v>
      </c>
      <c r="J166" s="8" t="n">
        <v>3341</v>
      </c>
      <c r="K166" s="8" t="n">
        <v>128</v>
      </c>
      <c r="L166" s="8" t="n">
        <v>187</v>
      </c>
      <c r="M166" s="8" t="n">
        <v>492</v>
      </c>
      <c r="N166" s="8" t="n">
        <v>3653</v>
      </c>
      <c r="O166" s="8" t="n">
        <v>113</v>
      </c>
      <c r="P166" s="8" t="n">
        <v>176</v>
      </c>
      <c r="Q166" s="8" t="n">
        <v>509</v>
      </c>
      <c r="R166" s="8" t="n">
        <v>4048</v>
      </c>
      <c r="S166" s="8" t="n">
        <v>137</v>
      </c>
      <c r="T166" s="8" t="n">
        <v>894</v>
      </c>
      <c r="U166" s="8" t="n">
        <v>1487</v>
      </c>
      <c r="V166" s="8" t="n">
        <v>5273</v>
      </c>
      <c r="W166" s="16">
        <f>S166*(1+W167)</f>
        <v/>
      </c>
      <c r="X166" s="16">
        <f>T166*(1+X167)</f>
        <v/>
      </c>
      <c r="Y166" s="16">
        <f>U166*(1+Y167)</f>
        <v/>
      </c>
      <c r="Z166" s="16">
        <f>V166*(1+Z167)</f>
        <v/>
      </c>
      <c r="AA166" s="16">
        <f>W166*(1+AA167)</f>
        <v/>
      </c>
      <c r="AB166" s="16">
        <f>X166*(1+AB167)</f>
        <v/>
      </c>
      <c r="AC166" s="16">
        <f>Y166*(1+AC167)</f>
        <v/>
      </c>
      <c r="AD166" s="16">
        <f>Z166*(1+AD167)</f>
        <v/>
      </c>
      <c r="AF166" s="8" t="n">
        <v>3563</v>
      </c>
      <c r="AG166" s="8" t="n">
        <v>3915</v>
      </c>
      <c r="AH166" s="8" t="n">
        <v>4135</v>
      </c>
      <c r="AI166" s="8" t="n">
        <v>4445</v>
      </c>
      <c r="AJ166" s="8" t="n">
        <v>4870</v>
      </c>
      <c r="AK166" s="16">
        <f>T166+U166+V166+W166</f>
        <v/>
      </c>
      <c r="AL166" s="16">
        <f>X166+Y166+Z166+AA166</f>
        <v/>
      </c>
      <c r="AM166" s="16">
        <f>AL166*(1+AM167)</f>
        <v/>
      </c>
      <c r="AN166" s="16">
        <f>AM166*(1+AN167)</f>
        <v/>
      </c>
      <c r="AO166" s="16">
        <f>AN166*(1+AO167)</f>
        <v/>
      </c>
    </row>
    <row r="167">
      <c r="D167" s="3" t="inlineStr">
        <is>
          <t>YoY growth</t>
        </is>
      </c>
      <c r="K167" s="24">
        <f>IFERROR(K166/G166-1,"")</f>
        <v/>
      </c>
      <c r="L167" s="24">
        <f>IFERROR(L166/H166-1,"")</f>
        <v/>
      </c>
      <c r="M167" s="24">
        <f>IFERROR(M166/I166-1,"")</f>
        <v/>
      </c>
      <c r="N167" s="24">
        <f>IFERROR(N166/J166-1,"")</f>
        <v/>
      </c>
      <c r="O167" s="24">
        <f>IFERROR(O166/K166-1,"")</f>
        <v/>
      </c>
      <c r="P167" s="24">
        <f>IFERROR(P166/L166-1,"")</f>
        <v/>
      </c>
      <c r="Q167" s="24">
        <f>IFERROR(Q166/M166-1,"")</f>
        <v/>
      </c>
      <c r="R167" s="24">
        <f>IFERROR(R166/N166-1,"")</f>
        <v/>
      </c>
      <c r="S167" s="24">
        <f>IFERROR(S166/O166-1,"")</f>
        <v/>
      </c>
      <c r="T167" s="24">
        <f>IFERROR(T166/P166-1,"")</f>
        <v/>
      </c>
      <c r="U167" s="24">
        <f>IFERROR(U166/Q166-1,"")</f>
        <v/>
      </c>
      <c r="V167" s="24">
        <f>IFERROR(V166/R166-1,"")</f>
        <v/>
      </c>
      <c r="W167" s="25" t="n">
        <v>0.08</v>
      </c>
      <c r="X167" s="25" t="n">
        <v>0.09</v>
      </c>
      <c r="Y167" s="25" t="n">
        <v>0.09</v>
      </c>
      <c r="Z167" s="25" t="n">
        <v>0.11</v>
      </c>
      <c r="AA167" s="25" t="n">
        <v>0.09</v>
      </c>
      <c r="AB167" s="25" t="n">
        <v>0.08</v>
      </c>
      <c r="AC167" s="25" t="n">
        <v>0.08</v>
      </c>
      <c r="AD167" s="25" t="n">
        <v>0.1</v>
      </c>
      <c r="AG167" s="24">
        <f>IFERROR(AG166/AF166-1,"")</f>
        <v/>
      </c>
      <c r="AH167" s="24">
        <f>IFERROR(AH166/AG166-1,"")</f>
        <v/>
      </c>
      <c r="AI167" s="24">
        <f>IFERROR(AI166/AH166-1,"")</f>
        <v/>
      </c>
      <c r="AJ167" s="24">
        <f>IFERROR(AJ166/AI166-1,"")</f>
        <v/>
      </c>
      <c r="AM167" s="25" t="n">
        <v>0.09</v>
      </c>
      <c r="AN167" s="25" t="n">
        <v>0.08500000000000001</v>
      </c>
      <c r="AO167" s="25" t="n">
        <v>0.08</v>
      </c>
    </row>
    <row r="168"/>
    <row r="169">
      <c r="C169" s="9" t="inlineStr">
        <is>
          <t>Credit Karma Revenue ($M)</t>
        </is>
      </c>
      <c r="G169" s="8" t="n">
        <v>475</v>
      </c>
      <c r="H169" s="8" t="n">
        <v>425</v>
      </c>
      <c r="I169" s="8" t="n">
        <v>375</v>
      </c>
      <c r="J169" s="8" t="n">
        <v>410</v>
      </c>
      <c r="K169" s="8" t="n">
        <v>424</v>
      </c>
      <c r="L169" s="8" t="n">
        <v>405</v>
      </c>
      <c r="M169" s="8" t="n">
        <v>375</v>
      </c>
      <c r="N169" s="8" t="n">
        <v>443</v>
      </c>
      <c r="O169" s="8" t="n">
        <v>485</v>
      </c>
      <c r="P169" s="8" t="n">
        <v>524</v>
      </c>
      <c r="Q169" s="8" t="n">
        <v>511</v>
      </c>
      <c r="R169" s="8" t="n">
        <v>579</v>
      </c>
      <c r="S169" s="8" t="n">
        <v>649</v>
      </c>
      <c r="T169" s="8" t="n">
        <v>651</v>
      </c>
      <c r="U169" s="8" t="n">
        <v>616</v>
      </c>
      <c r="V169" s="8" t="n">
        <v>631</v>
      </c>
      <c r="W169" s="16">
        <f>S169*(1+W170)</f>
        <v/>
      </c>
      <c r="X169" s="16">
        <f>T169*(1+X170)</f>
        <v/>
      </c>
      <c r="Y169" s="16">
        <f>U169*(1+Y170)</f>
        <v/>
      </c>
      <c r="Z169" s="16">
        <f>V169*(1+Z170)</f>
        <v/>
      </c>
      <c r="AA169" s="16">
        <f>W169*(1+AA170)</f>
        <v/>
      </c>
      <c r="AB169" s="16">
        <f>X169*(1+AB170)</f>
        <v/>
      </c>
      <c r="AC169" s="16">
        <f>Y169*(1+AC170)</f>
        <v/>
      </c>
      <c r="AD169" s="16">
        <f>Z169*(1+AD170)</f>
        <v/>
      </c>
      <c r="AF169" s="8" t="n">
        <v>865</v>
      </c>
      <c r="AG169" s="8" t="n">
        <v>1805</v>
      </c>
      <c r="AH169" s="8" t="n">
        <v>1634</v>
      </c>
      <c r="AI169" s="8" t="n">
        <v>1708</v>
      </c>
      <c r="AJ169" s="8" t="n">
        <v>2263</v>
      </c>
      <c r="AK169" s="16">
        <f>T169+U169+V169+W169</f>
        <v/>
      </c>
      <c r="AL169" s="16">
        <f>X169+Y169+Z169+AA169</f>
        <v/>
      </c>
      <c r="AM169" s="16">
        <f>AL169*(1+AM170)</f>
        <v/>
      </c>
      <c r="AN169" s="16">
        <f>AM169*(1+AN170)</f>
        <v/>
      </c>
      <c r="AO169" s="16">
        <f>AN169*(1+AO170)</f>
        <v/>
      </c>
    </row>
    <row r="170">
      <c r="D170" s="3" t="inlineStr">
        <is>
          <t>YoY growth</t>
        </is>
      </c>
      <c r="K170" s="24">
        <f>IFERROR(K169/G169-1,"")</f>
        <v/>
      </c>
      <c r="L170" s="24">
        <f>IFERROR(L169/H169-1,"")</f>
        <v/>
      </c>
      <c r="M170" s="24">
        <f>IFERROR(M169/I169-1,"")</f>
        <v/>
      </c>
      <c r="N170" s="24">
        <f>IFERROR(N169/J169-1,"")</f>
        <v/>
      </c>
      <c r="O170" s="24">
        <f>IFERROR(O169/K169-1,"")</f>
        <v/>
      </c>
      <c r="P170" s="24">
        <f>IFERROR(P169/L169-1,"")</f>
        <v/>
      </c>
      <c r="Q170" s="24">
        <f>IFERROR(Q169/M169-1,"")</f>
        <v/>
      </c>
      <c r="R170" s="24">
        <f>IFERROR(R169/N169-1,"")</f>
        <v/>
      </c>
      <c r="S170" s="24">
        <f>IFERROR(S169/O169-1,"")</f>
        <v/>
      </c>
      <c r="T170" s="24">
        <f>IFERROR(T169/P169-1,"")</f>
        <v/>
      </c>
      <c r="U170" s="24">
        <f>IFERROR(U169/Q169-1,"")</f>
        <v/>
      </c>
      <c r="V170" s="24">
        <f>IFERROR(V169/R169-1,"")</f>
        <v/>
      </c>
      <c r="W170" s="25" t="n">
        <v>0.18</v>
      </c>
      <c r="X170" s="25" t="n">
        <v>0.17</v>
      </c>
      <c r="Y170" s="25" t="n">
        <v>0.15</v>
      </c>
      <c r="Z170" s="25" t="n">
        <v>0.14</v>
      </c>
      <c r="AA170" s="25" t="n">
        <v>0.13</v>
      </c>
      <c r="AB170" s="25" t="n">
        <v>0.12</v>
      </c>
      <c r="AC170" s="25" t="n">
        <v>0.11</v>
      </c>
      <c r="AD170" s="25" t="n">
        <v>0.1</v>
      </c>
      <c r="AG170" s="24">
        <f>IFERROR(AG169/AF169-1,"")</f>
        <v/>
      </c>
      <c r="AH170" s="24">
        <f>IFERROR(AH169/AG169-1,"")</f>
        <v/>
      </c>
      <c r="AI170" s="24">
        <f>IFERROR(AI169/AH169-1,"")</f>
        <v/>
      </c>
      <c r="AJ170" s="24">
        <f>IFERROR(AJ169/AI169-1,"")</f>
        <v/>
      </c>
      <c r="AM170" s="25" t="n">
        <v>0.11</v>
      </c>
      <c r="AN170" s="25" t="n">
        <v>0.1</v>
      </c>
      <c r="AO170" s="25" t="n">
        <v>0.09</v>
      </c>
    </row>
    <row r="171"/>
    <row r="172">
      <c r="C172" s="9" t="inlineStr">
        <is>
          <t>ProTax Revenue ($M)</t>
        </is>
      </c>
      <c r="G172" s="8" t="n">
        <v>25</v>
      </c>
      <c r="H172" s="8" t="n">
        <v>34</v>
      </c>
      <c r="I172" s="8" t="n">
        <v>253</v>
      </c>
      <c r="J172" s="8" t="n">
        <v>246</v>
      </c>
      <c r="K172" s="8" t="n">
        <v>28</v>
      </c>
      <c r="L172" s="8" t="n">
        <v>42</v>
      </c>
      <c r="M172" s="8" t="n">
        <v>274</v>
      </c>
      <c r="N172" s="8" t="n">
        <v>254</v>
      </c>
      <c r="O172" s="8" t="n">
        <v>29</v>
      </c>
      <c r="P172" s="8" t="n">
        <v>39</v>
      </c>
      <c r="Q172" s="8" t="n">
        <v>272</v>
      </c>
      <c r="R172" s="8" t="n">
        <v>278</v>
      </c>
      <c r="S172" s="8" t="n">
        <v>32</v>
      </c>
      <c r="T172" s="8" t="n">
        <v>45</v>
      </c>
      <c r="U172" s="8" t="n">
        <v>290</v>
      </c>
      <c r="V172" s="8" t="n">
        <v>278</v>
      </c>
      <c r="W172" s="16">
        <f>S172*(1+W173)</f>
        <v/>
      </c>
      <c r="X172" s="16">
        <f>T172*(1+X173)</f>
        <v/>
      </c>
      <c r="Y172" s="16">
        <f>U172*(1+Y173)</f>
        <v/>
      </c>
      <c r="Z172" s="16">
        <f>V172*(1+Z173)</f>
        <v/>
      </c>
      <c r="AA172" s="16">
        <f>W172*(1+AA173)</f>
        <v/>
      </c>
      <c r="AB172" s="16">
        <f>X172*(1+AB173)</f>
        <v/>
      </c>
      <c r="AC172" s="16">
        <f>Y172*(1+AC173)</f>
        <v/>
      </c>
      <c r="AD172" s="16">
        <f>Z172*(1+AD173)</f>
        <v/>
      </c>
      <c r="AF172" s="8" t="n">
        <v>517</v>
      </c>
      <c r="AG172" s="8" t="n">
        <v>546</v>
      </c>
      <c r="AH172" s="8" t="n">
        <v>561</v>
      </c>
      <c r="AI172" s="8" t="n">
        <v>599</v>
      </c>
      <c r="AJ172" s="8" t="n">
        <v>621</v>
      </c>
      <c r="AK172" s="16">
        <f>T172+U172+V172+W172</f>
        <v/>
      </c>
      <c r="AL172" s="16">
        <f>X172+Y172+Z172+AA172</f>
        <v/>
      </c>
      <c r="AM172" s="16">
        <f>AL172*(1+AM173)</f>
        <v/>
      </c>
      <c r="AN172" s="16">
        <f>AM172*(1+AN173)</f>
        <v/>
      </c>
      <c r="AO172" s="16">
        <f>AN172*(1+AO173)</f>
        <v/>
      </c>
    </row>
    <row r="173">
      <c r="D173" s="3" t="inlineStr">
        <is>
          <t>YoY growth</t>
        </is>
      </c>
      <c r="K173" s="24">
        <f>IFERROR(K172/G172-1,"")</f>
        <v/>
      </c>
      <c r="L173" s="24">
        <f>IFERROR(L172/H172-1,"")</f>
        <v/>
      </c>
      <c r="M173" s="24">
        <f>IFERROR(M172/I172-1,"")</f>
        <v/>
      </c>
      <c r="N173" s="24">
        <f>IFERROR(N172/J172-1,"")</f>
        <v/>
      </c>
      <c r="O173" s="24">
        <f>IFERROR(O172/K172-1,"")</f>
        <v/>
      </c>
      <c r="P173" s="24">
        <f>IFERROR(P172/L172-1,"")</f>
        <v/>
      </c>
      <c r="Q173" s="24">
        <f>IFERROR(Q172/M172-1,"")</f>
        <v/>
      </c>
      <c r="R173" s="24">
        <f>IFERROR(R172/N172-1,"")</f>
        <v/>
      </c>
      <c r="S173" s="24">
        <f>IFERROR(S172/O172-1,"")</f>
        <v/>
      </c>
      <c r="T173" s="24">
        <f>IFERROR(T172/P172-1,"")</f>
        <v/>
      </c>
      <c r="U173" s="24">
        <f>IFERROR(U172/Q172-1,"")</f>
        <v/>
      </c>
      <c r="V173" s="24">
        <f>IFERROR(V172/R172-1,"")</f>
        <v/>
      </c>
      <c r="W173" s="25" t="n">
        <v>0.04</v>
      </c>
      <c r="X173" s="25" t="n">
        <v>0.05</v>
      </c>
      <c r="Y173" s="25" t="n">
        <v>0.05</v>
      </c>
      <c r="Z173" s="25" t="n">
        <v>0.05</v>
      </c>
      <c r="AA173" s="25" t="n">
        <v>0.04</v>
      </c>
      <c r="AB173" s="25" t="n">
        <v>0.04</v>
      </c>
      <c r="AC173" s="25" t="n">
        <v>0.04</v>
      </c>
      <c r="AD173" s="25" t="n">
        <v>0.04</v>
      </c>
      <c r="AG173" s="24">
        <f>IFERROR(AG172/AF172-1,"")</f>
        <v/>
      </c>
      <c r="AH173" s="24">
        <f>IFERROR(AH172/AG172-1,"")</f>
        <v/>
      </c>
      <c r="AI173" s="24">
        <f>IFERROR(AI172/AH172-1,"")</f>
        <v/>
      </c>
      <c r="AJ173" s="24">
        <f>IFERROR(AJ172/AI172-1,"")</f>
        <v/>
      </c>
      <c r="AM173" s="25" t="n">
        <v>0.04</v>
      </c>
      <c r="AN173" s="25" t="n">
        <v>0.04</v>
      </c>
      <c r="AO173" s="25" t="n">
        <v>0.04</v>
      </c>
    </row>
    <row r="174"/>
    <row r="175">
      <c r="C175" s="6" t="inlineStr">
        <is>
          <t>Total Net Revenue ($M, derived)</t>
        </is>
      </c>
      <c r="G175" s="10">
        <f>G163+G166+G169+G172</f>
        <v/>
      </c>
      <c r="H175" s="10">
        <f>H163+H166+H169+H172</f>
        <v/>
      </c>
      <c r="I175" s="10">
        <f>I163+I166+I169+I172</f>
        <v/>
      </c>
      <c r="J175" s="10">
        <f>J163+J166+J169+J172</f>
        <v/>
      </c>
      <c r="K175" s="10">
        <f>K163+K166+K169+K172</f>
        <v/>
      </c>
      <c r="L175" s="10">
        <f>L163+L166+L169+L172</f>
        <v/>
      </c>
      <c r="M175" s="10">
        <f>M163+M166+M169+M172</f>
        <v/>
      </c>
      <c r="N175" s="10">
        <f>N163+N166+N169+N172</f>
        <v/>
      </c>
      <c r="O175" s="10">
        <f>O163+O166+O169+O172</f>
        <v/>
      </c>
      <c r="P175" s="10">
        <f>P163+P166+P169+P172</f>
        <v/>
      </c>
      <c r="Q175" s="10">
        <f>Q163+Q166+Q169+Q172</f>
        <v/>
      </c>
      <c r="R175" s="10">
        <f>R163+R166+R169+R172</f>
        <v/>
      </c>
      <c r="S175" s="10">
        <f>S163+S166+S169+S172</f>
        <v/>
      </c>
      <c r="T175" s="10">
        <f>T163+T166+T169+T172</f>
        <v/>
      </c>
      <c r="U175" s="10">
        <f>U163+U166+U169+U172</f>
        <v/>
      </c>
      <c r="V175" s="10">
        <f>V163+V166+V169+V172</f>
        <v/>
      </c>
      <c r="W175" s="10">
        <f>W163+W166+W169+W172</f>
        <v/>
      </c>
      <c r="X175" s="10">
        <f>X163+X166+X169+X172</f>
        <v/>
      </c>
      <c r="Y175" s="10">
        <f>Y163+Y166+Y169+Y172</f>
        <v/>
      </c>
      <c r="Z175" s="10">
        <f>Z163+Z166+Z169+Z172</f>
        <v/>
      </c>
      <c r="AA175" s="10">
        <f>AA163+AA166+AA169+AA172</f>
        <v/>
      </c>
      <c r="AB175" s="10">
        <f>AB163+AB166+AB169+AB172</f>
        <v/>
      </c>
      <c r="AC175" s="10">
        <f>AC163+AC166+AC169+AC172</f>
        <v/>
      </c>
      <c r="AD175" s="10">
        <f>AD163+AD166+AD169+AD172</f>
        <v/>
      </c>
      <c r="AF175" s="10">
        <f>AF163+AF166+AF169+AF172</f>
        <v/>
      </c>
      <c r="AG175" s="10">
        <f>AG163+AG166+AG169+AG172</f>
        <v/>
      </c>
      <c r="AH175" s="10">
        <f>AH163+AH166+AH169+AH172</f>
        <v/>
      </c>
      <c r="AI175" s="10">
        <f>AI163+AI166+AI169+AI172</f>
        <v/>
      </c>
      <c r="AJ175" s="10">
        <f>AJ163+AJ166+AJ169+AJ172</f>
        <v/>
      </c>
      <c r="AK175" s="10">
        <f>T175+U175+V175+W175</f>
        <v/>
      </c>
      <c r="AL175" s="10">
        <f>X175+Y175+Z175+AA175</f>
        <v/>
      </c>
      <c r="AM175" s="10">
        <f>AM163+AM166+AM169+AM172</f>
        <v/>
      </c>
      <c r="AN175" s="10">
        <f>AN163+AN166+AN169+AN172</f>
        <v/>
      </c>
      <c r="AO175" s="10">
        <f>AO163+AO166+AO169+AO172</f>
        <v/>
      </c>
    </row>
    <row r="176"/>
    <row r="177"/>
    <row r="178"/>
    <row r="179"/>
    <row r="180"/>
    <row r="181"/>
    <row r="182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B2:AJ24"/>
  <sheetViews>
    <sheetView showGridLines="0" workbookViewId="0">
      <selection activeCell="A1" sqref="A1"/>
    </sheetView>
  </sheetViews>
  <sheetFormatPr baseColWidth="8" defaultRowHeight="15"/>
  <sheetData>
    <row r="2">
      <c r="B2" s="1" t="inlineStr">
        <is>
          <t>Intuit Inc.</t>
        </is>
      </c>
    </row>
    <row r="3">
      <c r="B3" s="3" t="inlineStr">
        <is>
          <t>As-reported subtotals (for reconciliation only)</t>
        </is>
      </c>
    </row>
    <row r="5">
      <c r="G5" s="5" t="inlineStr">
        <is>
          <t>Q4 FY22</t>
        </is>
      </c>
      <c r="H5" s="5" t="inlineStr">
        <is>
          <t>Q1 FY23</t>
        </is>
      </c>
      <c r="I5" s="5" t="inlineStr">
        <is>
          <t>Q2 FY23</t>
        </is>
      </c>
      <c r="J5" s="5" t="inlineStr">
        <is>
          <t>Q3 FY23</t>
        </is>
      </c>
      <c r="K5" s="5" t="inlineStr">
        <is>
          <t>Q4 FY23</t>
        </is>
      </c>
      <c r="L5" s="5" t="inlineStr">
        <is>
          <t>Q1 FY24</t>
        </is>
      </c>
      <c r="M5" s="5" t="inlineStr">
        <is>
          <t>Q2 FY24</t>
        </is>
      </c>
      <c r="N5" s="5" t="inlineStr">
        <is>
          <t>Q3 FY24</t>
        </is>
      </c>
      <c r="O5" s="5" t="inlineStr">
        <is>
          <t>Q4 FY24</t>
        </is>
      </c>
      <c r="P5" s="5" t="inlineStr">
        <is>
          <t>Q1 FY25</t>
        </is>
      </c>
      <c r="Q5" s="5" t="inlineStr">
        <is>
          <t>Q2 FY25</t>
        </is>
      </c>
      <c r="R5" s="5" t="inlineStr">
        <is>
          <t>Q3 FY25</t>
        </is>
      </c>
      <c r="S5" s="5" t="inlineStr">
        <is>
          <t>Q4 FY25</t>
        </is>
      </c>
      <c r="T5" s="5" t="inlineStr">
        <is>
          <t>Q1 FY26</t>
        </is>
      </c>
      <c r="U5" s="5" t="inlineStr">
        <is>
          <t>Q2 FY26</t>
        </is>
      </c>
      <c r="V5" s="5" t="inlineStr">
        <is>
          <t>Q3 FY26</t>
        </is>
      </c>
      <c r="AF5" s="5" t="inlineStr">
        <is>
          <t>FY21</t>
        </is>
      </c>
      <c r="AG5" s="5" t="inlineStr">
        <is>
          <t>FY22</t>
        </is>
      </c>
      <c r="AH5" s="5" t="inlineStr">
        <is>
          <t>FY23</t>
        </is>
      </c>
      <c r="AI5" s="5" t="inlineStr">
        <is>
          <t>FY24</t>
        </is>
      </c>
      <c r="AJ5" s="5" t="inlineStr">
        <is>
          <t>FY25</t>
        </is>
      </c>
    </row>
    <row r="9">
      <c r="B9" t="inlineStr">
        <is>
          <t>Revenue (Total)</t>
        </is>
      </c>
      <c r="G9" s="16" t="n">
        <v>2414</v>
      </c>
      <c r="H9" s="16" t="n">
        <v>2597</v>
      </c>
      <c r="I9" s="16" t="n">
        <v>3041</v>
      </c>
      <c r="J9" s="16" t="n">
        <v>6018</v>
      </c>
      <c r="K9" s="16" t="n">
        <v>2712</v>
      </c>
      <c r="L9" s="16" t="n">
        <v>2978</v>
      </c>
      <c r="M9" s="16" t="n">
        <v>3386</v>
      </c>
      <c r="N9" s="16" t="n">
        <v>6737</v>
      </c>
      <c r="O9" s="16" t="n">
        <v>3184</v>
      </c>
      <c r="P9" s="16" t="n">
        <v>3283</v>
      </c>
      <c r="Q9" s="16" t="n">
        <v>3963</v>
      </c>
      <c r="R9" s="16" t="n">
        <v>7754</v>
      </c>
      <c r="S9" s="16" t="n">
        <v>3831</v>
      </c>
      <c r="T9" s="16" t="n">
        <v>3885</v>
      </c>
      <c r="U9" s="16" t="n">
        <v>4651</v>
      </c>
      <c r="V9" s="16" t="n">
        <v>8558</v>
      </c>
      <c r="AF9" s="16" t="n">
        <v>9633</v>
      </c>
      <c r="AG9" s="16" t="n">
        <v>12726</v>
      </c>
      <c r="AH9" s="16" t="n">
        <v>14368</v>
      </c>
      <c r="AI9" s="16" t="n">
        <v>16285</v>
      </c>
      <c r="AJ9" s="16" t="n">
        <v>18831</v>
      </c>
    </row>
    <row r="10">
      <c r="B10" t="inlineStr">
        <is>
          <t>Cost of Revenue (Total)</t>
        </is>
      </c>
      <c r="G10" s="16" t="n">
        <v>-600</v>
      </c>
      <c r="H10" s="16" t="n">
        <v>-676</v>
      </c>
      <c r="I10" s="16" t="n">
        <v>-773</v>
      </c>
      <c r="J10" s="16" t="n">
        <v>-981</v>
      </c>
      <c r="K10" s="16" t="n">
        <v>-713</v>
      </c>
      <c r="L10" s="16" t="n">
        <v>-760</v>
      </c>
      <c r="M10" s="16" t="n">
        <v>-855</v>
      </c>
      <c r="N10" s="16" t="n">
        <v>-1067</v>
      </c>
      <c r="O10" s="16" t="n">
        <v>-783</v>
      </c>
      <c r="P10" s="16" t="n">
        <v>-823</v>
      </c>
      <c r="Q10" s="16" t="n">
        <v>-937</v>
      </c>
      <c r="R10" s="16" t="n">
        <v>-1194</v>
      </c>
      <c r="S10" s="16" t="n">
        <v>-894</v>
      </c>
      <c r="T10" s="16" t="n">
        <v>-883</v>
      </c>
      <c r="U10" s="16" t="n">
        <v>-1043</v>
      </c>
      <c r="V10" s="16" t="n">
        <v>-1374</v>
      </c>
      <c r="AF10" s="16" t="n">
        <v>-1683</v>
      </c>
      <c r="AG10" s="16" t="n">
        <v>-2406</v>
      </c>
      <c r="AH10" s="16" t="n">
        <v>-3143</v>
      </c>
      <c r="AI10" s="16" t="n">
        <v>-3465</v>
      </c>
      <c r="AJ10" s="16" t="n">
        <v>-3848</v>
      </c>
    </row>
    <row r="11">
      <c r="B11" t="inlineStr">
        <is>
          <t>Total OpEx (incl. Aoa)</t>
        </is>
      </c>
      <c r="G11" s="16" t="n">
        <v>-2489</v>
      </c>
      <c r="H11" s="16" t="n">
        <v>-2521</v>
      </c>
      <c r="I11" s="16" t="n">
        <v>-2771</v>
      </c>
      <c r="J11" s="16" t="n">
        <v>-3240</v>
      </c>
      <c r="K11" s="16" t="n">
        <v>-2695</v>
      </c>
      <c r="L11" s="16" t="n">
        <v>-2671</v>
      </c>
      <c r="M11" s="16" t="n">
        <v>-3017</v>
      </c>
      <c r="N11" s="16" t="n">
        <v>-3632</v>
      </c>
      <c r="O11" s="16" t="n">
        <v>-3335</v>
      </c>
      <c r="P11" s="16" t="n">
        <v>-3012</v>
      </c>
      <c r="Q11" s="16" t="n">
        <v>-3370</v>
      </c>
      <c r="R11" s="16" t="n">
        <v>-4034</v>
      </c>
      <c r="S11" s="16" t="n">
        <v>-3492</v>
      </c>
      <c r="T11" s="16" t="n">
        <v>-3351</v>
      </c>
      <c r="U11" s="16" t="n">
        <v>-3796</v>
      </c>
      <c r="V11" s="16" t="n">
        <v>-4538</v>
      </c>
      <c r="AF11" s="16" t="n">
        <v>-7133</v>
      </c>
      <c r="AG11" s="16" t="n">
        <v>-10155</v>
      </c>
      <c r="AH11" s="16" t="n">
        <v>-11227</v>
      </c>
      <c r="AI11" s="16" t="n">
        <v>-12655</v>
      </c>
      <c r="AJ11" s="16" t="n">
        <v>-13908</v>
      </c>
    </row>
    <row r="12">
      <c r="B12" t="inlineStr">
        <is>
          <t>Operating Income</t>
        </is>
      </c>
      <c r="G12" s="16" t="n">
        <v>-75</v>
      </c>
      <c r="H12" s="16" t="n">
        <v>76</v>
      </c>
      <c r="I12" s="16" t="n">
        <v>270</v>
      </c>
      <c r="J12" s="16" t="n">
        <v>2778</v>
      </c>
      <c r="K12" s="16" t="n">
        <v>17</v>
      </c>
      <c r="L12" s="16" t="n">
        <v>307</v>
      </c>
      <c r="M12" s="16" t="n">
        <v>369</v>
      </c>
      <c r="N12" s="16" t="n">
        <v>3105</v>
      </c>
      <c r="O12" s="16" t="n">
        <v>-151</v>
      </c>
      <c r="P12" s="16" t="n">
        <v>271</v>
      </c>
      <c r="Q12" s="16" t="n">
        <v>593</v>
      </c>
      <c r="R12" s="16" t="n">
        <v>3720</v>
      </c>
      <c r="S12" s="16" t="n">
        <v>339</v>
      </c>
      <c r="T12" s="16" t="n">
        <v>534</v>
      </c>
      <c r="U12" s="16" t="n">
        <v>855</v>
      </c>
      <c r="V12" s="16" t="n">
        <v>4020</v>
      </c>
      <c r="AF12" s="16" t="n">
        <v>2500</v>
      </c>
      <c r="AG12" s="16" t="n">
        <v>2571</v>
      </c>
      <c r="AH12" s="16" t="n">
        <v>3141</v>
      </c>
      <c r="AI12" s="16" t="n">
        <v>3630</v>
      </c>
      <c r="AJ12" s="16" t="n">
        <v>4923</v>
      </c>
    </row>
    <row r="13">
      <c r="B13" t="inlineStr">
        <is>
          <t>Pretax Income</t>
        </is>
      </c>
      <c r="G13" s="16" t="n">
        <v>-99</v>
      </c>
      <c r="H13" s="16" t="n">
        <v>32</v>
      </c>
      <c r="I13" s="16" t="n">
        <v>228</v>
      </c>
      <c r="J13" s="16" t="n">
        <v>2734</v>
      </c>
      <c r="K13" s="16" t="n">
        <v>-5</v>
      </c>
      <c r="L13" s="16" t="n">
        <v>264</v>
      </c>
      <c r="M13" s="16" t="n">
        <v>354</v>
      </c>
      <c r="N13" s="16" t="n">
        <v>3072</v>
      </c>
      <c r="O13" s="16" t="n">
        <v>-140</v>
      </c>
      <c r="P13" s="16" t="n">
        <v>213</v>
      </c>
      <c r="Q13" s="16" t="n">
        <v>571</v>
      </c>
      <c r="R13" s="16" t="n">
        <v>3684</v>
      </c>
      <c r="S13" s="16" t="n">
        <v>366</v>
      </c>
      <c r="T13" s="16" t="n">
        <v>561</v>
      </c>
      <c r="U13" s="16" t="n">
        <v>869</v>
      </c>
      <c r="V13" s="16" t="n">
        <v>4047</v>
      </c>
      <c r="AF13" s="16" t="n">
        <v>2556</v>
      </c>
      <c r="AG13" s="16" t="n">
        <v>2542</v>
      </c>
      <c r="AH13" s="16" t="n">
        <v>2989</v>
      </c>
      <c r="AI13" s="16" t="n">
        <v>3550</v>
      </c>
      <c r="AJ13" s="16" t="n">
        <v>4834</v>
      </c>
    </row>
    <row r="14">
      <c r="B14" t="inlineStr">
        <is>
          <t>Net Income</t>
        </is>
      </c>
      <c r="G14" s="16" t="n">
        <v>-56</v>
      </c>
      <c r="H14" s="16" t="n">
        <v>40</v>
      </c>
      <c r="I14" s="16" t="n">
        <v>168</v>
      </c>
      <c r="J14" s="16" t="n">
        <v>2087</v>
      </c>
      <c r="K14" s="16" t="n">
        <v>89</v>
      </c>
      <c r="L14" s="16" t="n">
        <v>241</v>
      </c>
      <c r="M14" s="16" t="n">
        <v>353</v>
      </c>
      <c r="N14" s="16" t="n">
        <v>2389</v>
      </c>
      <c r="O14" s="16" t="n">
        <v>-20</v>
      </c>
      <c r="P14" s="16" t="n">
        <v>197</v>
      </c>
      <c r="Q14" s="16" t="n">
        <v>471</v>
      </c>
      <c r="R14" s="16" t="n">
        <v>2820</v>
      </c>
      <c r="S14" s="16" t="n">
        <v>381</v>
      </c>
      <c r="T14" s="16" t="n">
        <v>446</v>
      </c>
      <c r="U14" s="16" t="n">
        <v>693</v>
      </c>
      <c r="V14" s="16" t="n">
        <v>3064</v>
      </c>
      <c r="AF14" s="16" t="n">
        <v>2062</v>
      </c>
      <c r="AG14" s="16" t="n">
        <v>2066</v>
      </c>
      <c r="AH14" s="16" t="n">
        <v>2384</v>
      </c>
      <c r="AI14" s="16" t="n">
        <v>2963</v>
      </c>
      <c r="AJ14" s="16" t="n">
        <v>3869</v>
      </c>
    </row>
    <row r="15">
      <c r="B15" t="inlineStr">
        <is>
          <t>Total Current Assets</t>
        </is>
      </c>
      <c r="G15" s="16" t="n">
        <v>5047</v>
      </c>
      <c r="H15" s="16" t="n">
        <v>4554</v>
      </c>
      <c r="I15" s="16" t="n">
        <v>4756</v>
      </c>
      <c r="J15" s="16" t="n">
        <v>6649</v>
      </c>
      <c r="K15" s="16" t="n">
        <v>5557</v>
      </c>
      <c r="L15" s="16" t="n">
        <v>6231</v>
      </c>
      <c r="M15" s="16" t="n">
        <v>7300</v>
      </c>
      <c r="N15" s="16" t="n">
        <v>9236</v>
      </c>
      <c r="O15" s="16" t="n">
        <v>9678</v>
      </c>
      <c r="P15" s="16" t="n">
        <v>10726</v>
      </c>
      <c r="Q15" s="16" t="n">
        <v>9135</v>
      </c>
      <c r="R15" s="16" t="n">
        <v>13965</v>
      </c>
      <c r="S15" s="16" t="n">
        <v>14107</v>
      </c>
      <c r="T15" s="16" t="n">
        <v>10421</v>
      </c>
      <c r="U15" s="16" t="n">
        <v>11703</v>
      </c>
      <c r="V15" s="16" t="n">
        <v>17837</v>
      </c>
      <c r="AF15" s="16" t="n">
        <v>5157</v>
      </c>
      <c r="AG15" s="16" t="n">
        <v>5047</v>
      </c>
      <c r="AH15" s="16" t="n">
        <v>5557</v>
      </c>
      <c r="AI15" s="16" t="n">
        <v>9678</v>
      </c>
      <c r="AJ15" s="16" t="n">
        <v>14107</v>
      </c>
    </row>
    <row r="16">
      <c r="B16" t="inlineStr">
        <is>
          <t>Total Assets</t>
        </is>
      </c>
      <c r="G16" s="16" t="n">
        <v>27734</v>
      </c>
      <c r="H16" s="16" t="n">
        <v>27085</v>
      </c>
      <c r="I16" s="16" t="n">
        <v>27202</v>
      </c>
      <c r="J16" s="16" t="n">
        <v>28921</v>
      </c>
      <c r="K16" s="16" t="n">
        <v>27780</v>
      </c>
      <c r="L16" s="16" t="n">
        <v>28488</v>
      </c>
      <c r="M16" s="16" t="n">
        <v>29688</v>
      </c>
      <c r="N16" s="16" t="n">
        <v>31560</v>
      </c>
      <c r="O16" s="16" t="n">
        <v>32132</v>
      </c>
      <c r="P16" s="16" t="n">
        <v>33193</v>
      </c>
      <c r="Q16" s="16" t="n">
        <v>31682</v>
      </c>
      <c r="R16" s="16" t="n">
        <v>36593</v>
      </c>
      <c r="S16" s="16" t="n">
        <v>36958</v>
      </c>
      <c r="T16" s="16" t="n">
        <v>33191</v>
      </c>
      <c r="U16" s="16" t="n">
        <v>34282</v>
      </c>
      <c r="V16" s="16" t="n">
        <v>39330</v>
      </c>
      <c r="AF16" s="16" t="n">
        <v>15516</v>
      </c>
      <c r="AG16" s="16" t="n">
        <v>27734</v>
      </c>
      <c r="AH16" s="16" t="n">
        <v>27780</v>
      </c>
      <c r="AI16" s="16" t="n">
        <v>32132</v>
      </c>
      <c r="AJ16" s="16" t="n">
        <v>36958</v>
      </c>
    </row>
    <row r="17">
      <c r="B17" t="inlineStr">
        <is>
          <t>Total Current Liabilities</t>
        </is>
      </c>
      <c r="G17" s="16" t="n">
        <v>3630</v>
      </c>
      <c r="H17" s="16" t="n">
        <v>3325</v>
      </c>
      <c r="I17" s="16" t="n">
        <v>3862</v>
      </c>
      <c r="J17" s="16" t="n">
        <v>4415</v>
      </c>
      <c r="K17" s="16" t="n">
        <v>3790</v>
      </c>
      <c r="L17" s="16" t="n">
        <v>4996</v>
      </c>
      <c r="M17" s="16" t="n">
        <v>6216</v>
      </c>
      <c r="N17" s="16" t="n">
        <v>6163</v>
      </c>
      <c r="O17" s="16" t="n">
        <v>7491</v>
      </c>
      <c r="P17" s="16" t="n">
        <v>8619</v>
      </c>
      <c r="Q17" s="16" t="n">
        <v>7179</v>
      </c>
      <c r="R17" s="16" t="n">
        <v>9654</v>
      </c>
      <c r="S17" s="16" t="n">
        <v>10370</v>
      </c>
      <c r="T17" s="16" t="n">
        <v>7519</v>
      </c>
      <c r="U17" s="16" t="n">
        <v>8844</v>
      </c>
      <c r="V17" s="16" t="n">
        <v>12276</v>
      </c>
      <c r="AF17" s="16" t="n">
        <v>2655</v>
      </c>
      <c r="AG17" s="16" t="n">
        <v>3630</v>
      </c>
      <c r="AH17" s="16" t="n">
        <v>3790</v>
      </c>
      <c r="AI17" s="16" t="n">
        <v>7491</v>
      </c>
      <c r="AJ17" s="16" t="n">
        <v>10370</v>
      </c>
    </row>
    <row r="18">
      <c r="B18" t="inlineStr">
        <is>
          <t>Total Liabilities</t>
        </is>
      </c>
      <c r="G18" s="16" t="n">
        <v>11293</v>
      </c>
      <c r="H18" s="16" t="n">
        <v>11018</v>
      </c>
      <c r="I18" s="16" t="n">
        <v>11360</v>
      </c>
      <c r="J18" s="16" t="n">
        <v>11329</v>
      </c>
      <c r="K18" s="16" t="n">
        <v>10511</v>
      </c>
      <c r="L18" s="16" t="n">
        <v>11496</v>
      </c>
      <c r="M18" s="16" t="n">
        <v>12780</v>
      </c>
      <c r="N18" s="16" t="n">
        <v>12803</v>
      </c>
      <c r="O18" s="16" t="n">
        <v>13696</v>
      </c>
      <c r="P18" s="16" t="n">
        <v>15057</v>
      </c>
      <c r="Q18" s="16" t="n">
        <v>13733</v>
      </c>
      <c r="R18" s="16" t="n">
        <v>16468</v>
      </c>
      <c r="S18" s="16" t="n">
        <v>17248</v>
      </c>
      <c r="T18" s="16" t="n">
        <v>13869</v>
      </c>
      <c r="U18" s="16" t="n">
        <v>15227</v>
      </c>
      <c r="V18" s="16" t="n">
        <v>18701</v>
      </c>
      <c r="AF18" s="16" t="n">
        <v>5647</v>
      </c>
      <c r="AG18" s="16" t="n">
        <v>11293</v>
      </c>
      <c r="AH18" s="16" t="n">
        <v>10511</v>
      </c>
      <c r="AI18" s="16" t="n">
        <v>13696</v>
      </c>
      <c r="AJ18" s="16" t="n">
        <v>17248</v>
      </c>
    </row>
    <row r="19">
      <c r="B19" t="inlineStr">
        <is>
          <t>Total Stockholders' Equity</t>
        </is>
      </c>
      <c r="G19" s="16" t="n">
        <v>16441</v>
      </c>
      <c r="H19" s="16" t="n">
        <v>16067</v>
      </c>
      <c r="I19" s="16" t="n">
        <v>15842</v>
      </c>
      <c r="J19" s="16" t="n">
        <v>17592</v>
      </c>
      <c r="K19" s="16" t="n">
        <v>17269</v>
      </c>
      <c r="L19" s="16" t="n">
        <v>16992</v>
      </c>
      <c r="M19" s="16" t="n">
        <v>16908</v>
      </c>
      <c r="N19" s="16" t="n">
        <v>18757</v>
      </c>
      <c r="O19" s="16" t="n">
        <v>18436</v>
      </c>
      <c r="P19" s="16" t="n">
        <v>18136</v>
      </c>
      <c r="Q19" s="16" t="n">
        <v>17949</v>
      </c>
      <c r="R19" s="16" t="n">
        <v>20125</v>
      </c>
      <c r="S19" s="16" t="n">
        <v>19710</v>
      </c>
      <c r="T19" s="16" t="n">
        <v>19322</v>
      </c>
      <c r="U19" s="16" t="n">
        <v>19055</v>
      </c>
      <c r="V19" s="16" t="n">
        <v>20629</v>
      </c>
      <c r="AF19" s="16" t="n">
        <v>9869</v>
      </c>
      <c r="AG19" s="16" t="n">
        <v>16441</v>
      </c>
      <c r="AH19" s="16" t="n">
        <v>17269</v>
      </c>
      <c r="AI19" s="16" t="n">
        <v>18436</v>
      </c>
      <c r="AJ19" s="16" t="n">
        <v>19710</v>
      </c>
    </row>
    <row r="20">
      <c r="B20" t="inlineStr">
        <is>
          <t>Total L&amp;E</t>
        </is>
      </c>
      <c r="G20" s="16" t="n">
        <v>27734</v>
      </c>
      <c r="H20" s="16" t="n">
        <v>27085</v>
      </c>
      <c r="I20" s="16" t="n">
        <v>27202</v>
      </c>
      <c r="J20" s="16" t="n">
        <v>28921</v>
      </c>
      <c r="K20" s="16" t="n">
        <v>27780</v>
      </c>
      <c r="L20" s="16" t="n">
        <v>28488</v>
      </c>
      <c r="M20" s="16" t="n">
        <v>29688</v>
      </c>
      <c r="N20" s="16" t="n">
        <v>31560</v>
      </c>
      <c r="O20" s="16" t="n">
        <v>32132</v>
      </c>
      <c r="P20" s="16" t="n">
        <v>33193</v>
      </c>
      <c r="Q20" s="16" t="n">
        <v>31682</v>
      </c>
      <c r="R20" s="16" t="n">
        <v>36593</v>
      </c>
      <c r="S20" s="16" t="n">
        <v>36958</v>
      </c>
      <c r="T20" s="16" t="n">
        <v>33191</v>
      </c>
      <c r="U20" s="16" t="n">
        <v>34282</v>
      </c>
      <c r="V20" s="16" t="n">
        <v>39330</v>
      </c>
      <c r="AF20" s="16" t="n">
        <v>15516</v>
      </c>
      <c r="AG20" s="16" t="n">
        <v>27734</v>
      </c>
      <c r="AH20" s="16" t="n">
        <v>27780</v>
      </c>
      <c r="AI20" s="16" t="n">
        <v>32132</v>
      </c>
      <c r="AJ20" s="16" t="n">
        <v>36958</v>
      </c>
    </row>
    <row r="21">
      <c r="B21" t="inlineStr">
        <is>
          <t>CFO</t>
        </is>
      </c>
      <c r="G21" s="16" t="n">
        <v>339</v>
      </c>
      <c r="H21" s="16" t="n">
        <v>328</v>
      </c>
      <c r="I21" s="16" t="n">
        <v>284</v>
      </c>
      <c r="J21" s="16" t="n">
        <v>3592</v>
      </c>
      <c r="K21" s="16" t="n">
        <v>842</v>
      </c>
      <c r="L21" s="16" t="n">
        <v>-97</v>
      </c>
      <c r="M21" s="16" t="n">
        <v>613</v>
      </c>
      <c r="N21" s="16" t="n">
        <v>3951</v>
      </c>
      <c r="O21" s="16" t="n">
        <v>417</v>
      </c>
      <c r="P21" s="16" t="n">
        <v>362</v>
      </c>
      <c r="Q21" s="16" t="n">
        <v>1069</v>
      </c>
      <c r="R21" s="16" t="n">
        <v>4395</v>
      </c>
      <c r="S21" s="16" t="n">
        <v>381</v>
      </c>
      <c r="T21" s="16" t="n">
        <v>637</v>
      </c>
      <c r="U21" s="16" t="n">
        <v>1570</v>
      </c>
      <c r="V21" s="16" t="n">
        <v>5300</v>
      </c>
      <c r="AF21" s="16" t="n">
        <v>3250</v>
      </c>
      <c r="AG21" s="16" t="n">
        <v>3889</v>
      </c>
      <c r="AH21" s="16" t="n">
        <v>5046</v>
      </c>
      <c r="AI21" s="16" t="n">
        <v>4884</v>
      </c>
      <c r="AJ21" s="16" t="n">
        <v>6207</v>
      </c>
    </row>
    <row r="22">
      <c r="B22" t="inlineStr">
        <is>
          <t>CFI</t>
        </is>
      </c>
      <c r="G22" s="16" t="n">
        <v>-311</v>
      </c>
      <c r="H22" s="16" t="n">
        <v>-256</v>
      </c>
      <c r="I22" s="16" t="n">
        <v>-448</v>
      </c>
      <c r="J22" s="16" t="n">
        <v>155</v>
      </c>
      <c r="K22" s="16" t="n">
        <v>-373</v>
      </c>
      <c r="L22" s="16" t="n">
        <v>210</v>
      </c>
      <c r="M22" s="16" t="n">
        <v>34</v>
      </c>
      <c r="N22" s="16" t="n">
        <v>-219</v>
      </c>
      <c r="O22" s="16" t="n">
        <v>-252</v>
      </c>
      <c r="P22" s="16" t="n">
        <v>-188</v>
      </c>
      <c r="Q22" s="16" t="n">
        <v>-489</v>
      </c>
      <c r="R22" s="16" t="n">
        <v>-416</v>
      </c>
      <c r="S22" s="16" t="n">
        <v>-1225</v>
      </c>
      <c r="T22" s="16" t="n">
        <v>1198</v>
      </c>
      <c r="U22" s="16" t="n">
        <v>-700</v>
      </c>
      <c r="V22" s="16" t="n">
        <v>-1598</v>
      </c>
      <c r="AF22" s="16" t="n">
        <v>-3965</v>
      </c>
      <c r="AG22" s="16" t="n">
        <v>-5421</v>
      </c>
      <c r="AH22" s="16" t="n">
        <v>-922</v>
      </c>
      <c r="AI22" s="16" t="n">
        <v>-227</v>
      </c>
      <c r="AJ22" s="16" t="n">
        <v>-2318</v>
      </c>
    </row>
    <row r="23">
      <c r="B23" t="inlineStr">
        <is>
          <t>CFF</t>
        </is>
      </c>
      <c r="G23" s="16" t="n">
        <v>-897</v>
      </c>
      <c r="H23" s="16" t="n">
        <v>-913</v>
      </c>
      <c r="I23" s="16" t="n">
        <v>-442</v>
      </c>
      <c r="J23" s="16" t="n">
        <v>-1549</v>
      </c>
      <c r="K23" s="16" t="n">
        <v>-1365</v>
      </c>
      <c r="L23" s="16" t="n">
        <v>849</v>
      </c>
      <c r="M23" s="16" t="n">
        <v>-16</v>
      </c>
      <c r="N23" s="16" t="n">
        <v>-1684</v>
      </c>
      <c r="O23" s="16" t="n">
        <v>454</v>
      </c>
      <c r="P23" s="16" t="n">
        <v>761</v>
      </c>
      <c r="Q23" s="16" t="n">
        <v>-3260</v>
      </c>
      <c r="R23" s="16" t="n">
        <v>847</v>
      </c>
      <c r="S23" s="16" t="n">
        <v>142</v>
      </c>
      <c r="T23" s="16" t="n">
        <v>-4372</v>
      </c>
      <c r="U23" s="16" t="n">
        <v>-1037</v>
      </c>
      <c r="V23" s="16" t="n">
        <v>1426</v>
      </c>
      <c r="AF23" s="16" t="n">
        <v>-3176</v>
      </c>
      <c r="AG23" s="16" t="n">
        <v>1732</v>
      </c>
      <c r="AH23" s="16" t="n">
        <v>-4269</v>
      </c>
      <c r="AI23" s="16" t="n">
        <v>-397</v>
      </c>
      <c r="AJ23" s="16" t="n">
        <v>-1510</v>
      </c>
    </row>
    <row r="24">
      <c r="B24" t="inlineStr">
        <is>
          <t>Net Change in Cash</t>
        </is>
      </c>
      <c r="G24" s="16" t="n">
        <v>-873</v>
      </c>
      <c r="H24" s="16" t="n">
        <v>-857</v>
      </c>
      <c r="I24" s="16" t="n">
        <v>-591</v>
      </c>
      <c r="J24" s="16" t="n">
        <v>2201</v>
      </c>
      <c r="K24" s="16" t="n">
        <v>-898</v>
      </c>
      <c r="L24" s="16" t="n">
        <v>945</v>
      </c>
      <c r="M24" s="16" t="n">
        <v>644</v>
      </c>
      <c r="N24" s="16" t="n">
        <v>2040</v>
      </c>
      <c r="O24" s="16" t="n">
        <v>618</v>
      </c>
      <c r="P24" s="16" t="n">
        <v>935</v>
      </c>
      <c r="Q24" s="16" t="n">
        <v>-2692</v>
      </c>
      <c r="R24" s="16" t="n">
        <v>4842</v>
      </c>
      <c r="S24" s="16" t="n">
        <v>-703</v>
      </c>
      <c r="T24" s="16" t="n">
        <v>-2538</v>
      </c>
      <c r="U24" s="16" t="n">
        <v>-160</v>
      </c>
      <c r="V24" s="16" t="n">
        <v>5131</v>
      </c>
      <c r="AF24" s="16" t="n">
        <v>-3878</v>
      </c>
      <c r="AG24" s="16" t="n">
        <v>178</v>
      </c>
      <c r="AH24" s="16" t="n">
        <v>-145</v>
      </c>
      <c r="AI24" s="16" t="n">
        <v>4247</v>
      </c>
      <c r="AJ24" s="16" t="n">
        <v>2382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366FF"/>
    <outlinePr summaryBelow="1" summaryRight="1"/>
    <pageSetUpPr/>
  </sheetPr>
  <dimension ref="A3:F14"/>
  <sheetViews>
    <sheetView showGridLines="0" workbookViewId="0">
      <selection activeCell="A1" sqref="A1"/>
    </sheetView>
  </sheetViews>
  <sheetFormatPr baseColWidth="8" defaultRowHeight="15"/>
  <sheetData>
    <row r="3">
      <c r="A3" s="17" t="inlineStr">
        <is>
          <t>X</t>
        </is>
      </c>
      <c r="B3" s="6" t="inlineStr">
        <is>
          <t>Company Name</t>
        </is>
      </c>
      <c r="F3" t="inlineStr">
        <is>
          <t>Intuit Inc.</t>
        </is>
      </c>
    </row>
    <row r="5">
      <c r="B5" s="6" t="inlineStr">
        <is>
          <t>Sub-header</t>
        </is>
      </c>
      <c r="F5" t="inlineStr">
        <is>
          <t>Dollars in millions, except per share</t>
        </is>
      </c>
    </row>
    <row r="7">
      <c r="B7" s="6" t="inlineStr">
        <is>
          <t>Last Fiscal Year End</t>
        </is>
      </c>
      <c r="F7" s="18" t="n">
        <v>45869</v>
      </c>
    </row>
    <row r="9">
      <c r="B9" s="6" t="inlineStr">
        <is>
          <t>Today</t>
        </is>
      </c>
      <c r="F9" s="18" t="n">
        <v>46167</v>
      </c>
    </row>
    <row r="12">
      <c r="B12" s="6" t="inlineStr">
        <is>
          <t>Minimum Cash (% of revenue)</t>
        </is>
      </c>
      <c r="F12" s="19" t="n">
        <v>0.1</v>
      </c>
    </row>
    <row r="14">
      <c r="A14" s="17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2026-05-26T03:11:47Z</dcterms:created>
  <dcterms:modified xmlns:dcterms="http://purl.org/dc/terms/" xmlns:xsi="http://www.w3.org/2001/XMLSchema-instance" xsi:type="dcterms:W3CDTF">2026-05-26T03:11:48Z</dcterms:modified>
</cp:coreProperties>
</file>